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数据库管理2018\书目-上网\"/>
    </mc:Choice>
  </mc:AlternateContent>
  <bookViews>
    <workbookView xWindow="0" yWindow="0" windowWidth="28770" windowHeight="11835"/>
  </bookViews>
  <sheets>
    <sheet name="Pearson" sheetId="1" r:id="rId1"/>
  </sheets>
  <calcPr calcId="0"/>
</workbook>
</file>

<file path=xl/calcChain.xml><?xml version="1.0" encoding="utf-8"?>
<calcChain xmlns="http://schemas.openxmlformats.org/spreadsheetml/2006/main">
  <c r="J2" i="1" l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</calcChain>
</file>

<file path=xl/sharedStrings.xml><?xml version="1.0" encoding="utf-8"?>
<sst xmlns="http://schemas.openxmlformats.org/spreadsheetml/2006/main" count="6586" uniqueCount="2898">
  <si>
    <t>Document ID</t>
  </si>
  <si>
    <t>Title</t>
  </si>
  <si>
    <t>PrintIsbn</t>
  </si>
  <si>
    <t>EIsbn</t>
  </si>
  <si>
    <t>Publisher</t>
  </si>
  <si>
    <t>Imprint</t>
  </si>
  <si>
    <t>PublicationDate</t>
  </si>
  <si>
    <t>Title Edition</t>
  </si>
  <si>
    <t>Series Title</t>
  </si>
  <si>
    <t>Authors</t>
  </si>
  <si>
    <t>Subject</t>
  </si>
  <si>
    <t>Language</t>
  </si>
  <si>
    <t>Full Record URL</t>
  </si>
  <si>
    <t>Materials for Civil and Construction Engineers: Pearson New International Edition</t>
  </si>
  <si>
    <t>Pearson Education Limited</t>
  </si>
  <si>
    <t>Pearson</t>
  </si>
  <si>
    <t>Mamlouk, Michael S.; Zaniewski, John P.</t>
  </si>
  <si>
    <t>Engineering; Engineering: Civil</t>
  </si>
  <si>
    <t>English</t>
  </si>
  <si>
    <t>https://ebookcentral.proquest.com/lib/fudan-ebooks/detail.action?docID=4789156</t>
  </si>
  <si>
    <t>Electronic Devices and Circuit Theory: Pearson New International Edition</t>
  </si>
  <si>
    <t>Boylestad, Robert L.; Nashelsky, Louis</t>
  </si>
  <si>
    <t>Engineering; Engineering: Electrical</t>
  </si>
  <si>
    <t>https://ebookcentral.proquest.com/lib/fudan-ebooks/detail.action?docID=4789158</t>
  </si>
  <si>
    <t>You Know the Fair Rule : Strategies for positive and effective behaviour management and discipline in schools</t>
  </si>
  <si>
    <t>Pearson Education UK</t>
  </si>
  <si>
    <t>Rogers, Bill</t>
  </si>
  <si>
    <t>Education</t>
  </si>
  <si>
    <t>https://ebookcentral.proquest.com/lib/fudan-ebooks/detail.action?docID=5133209</t>
  </si>
  <si>
    <t>Brilliant PR : Create a PR sensation, whatever your budget, whatever your business</t>
  </si>
  <si>
    <t>Pearson Business</t>
  </si>
  <si>
    <t>Bussey, Cathy</t>
  </si>
  <si>
    <t>https://ebookcentral.proquest.com/lib/fudan-ebooks/detail.action?docID=5136200</t>
  </si>
  <si>
    <t>Mastering Financial Modelling in Microsoft Excel 3rd edn : A Practitioner's Guide to Applied Corporate Finance</t>
  </si>
  <si>
    <t>FT Publishing International</t>
  </si>
  <si>
    <t>Day, Alastair</t>
  </si>
  <si>
    <t>Business/Management</t>
  </si>
  <si>
    <t>https://ebookcentral.proquest.com/lib/fudan-ebooks/detail.action?docID=5136208</t>
  </si>
  <si>
    <t>Mastering Cash Flow and Valuation Modelling</t>
  </si>
  <si>
    <t>Financial Times/ Prentice Hall</t>
  </si>
  <si>
    <t>https://ebookcentral.proquest.com/lib/fudan-ebooks/detail.action?docID=5136209</t>
  </si>
  <si>
    <t>FT Essential Guide to Writing a Business Plan : How to win backing to start up or grow your business</t>
  </si>
  <si>
    <t>Evans, Vaughan</t>
  </si>
  <si>
    <t>https://ebookcentral.proquest.com/lib/fudan-ebooks/detail.action?docID=5136214</t>
  </si>
  <si>
    <t>Employee to Entrepreneur : How to Ditch the Day Job &amp; Start Your Own Business</t>
  </si>
  <si>
    <t>Garden, Chris</t>
  </si>
  <si>
    <t>https://ebookcentral.proquest.com/lib/fudan-ebooks/detail.action?docID=5136219</t>
  </si>
  <si>
    <t>Dynamic Supply Chains : Delivering value through people</t>
  </si>
  <si>
    <t>Gattorna, John</t>
  </si>
  <si>
    <t>https://ebookcentral.proquest.com/lib/fudan-ebooks/detail.action?docID=5136220</t>
  </si>
  <si>
    <t>Brilliant Communication Skills : What the best communicators know, do and say</t>
  </si>
  <si>
    <t>Pearson Life</t>
  </si>
  <si>
    <t>Hasson, Gill</t>
  </si>
  <si>
    <t>https://ebookcentral.proquest.com/lib/fudan-ebooks/detail.action?docID=5136225</t>
  </si>
  <si>
    <t>Interview Expert : How to get the job you want</t>
  </si>
  <si>
    <t>Lees, John</t>
  </si>
  <si>
    <t>https://ebookcentral.proquest.com/lib/fudan-ebooks/detail.action?docID=5136236</t>
  </si>
  <si>
    <t>Mastering Anti-Money Laundering and Counter-Terrorist Financing : A compliance guide for practitioners</t>
  </si>
  <si>
    <t>Parkman, Tim</t>
  </si>
  <si>
    <t>https://ebookcentral.proquest.com/lib/fudan-ebooks/detail.action?docID=5136252</t>
  </si>
  <si>
    <t>Start Your Business Week by Week : How to plan and launch your successful business - one step at a time</t>
  </si>
  <si>
    <t>Parks, Steve</t>
  </si>
  <si>
    <t>https://ebookcentral.proquest.com/lib/fudan-ebooks/detail.action?docID=5136253</t>
  </si>
  <si>
    <t>Promise : Never Have Another Negative Thought Again</t>
  </si>
  <si>
    <t>Price, Graham</t>
  </si>
  <si>
    <t>Psychology</t>
  </si>
  <si>
    <t>https://ebookcentral.proquest.com/lib/fudan-ebooks/detail.action?docID=5136254</t>
  </si>
  <si>
    <t>Brilliant Career Coach : How to find and follow your dream career</t>
  </si>
  <si>
    <t>Rowan, Sophie</t>
  </si>
  <si>
    <t>https://ebookcentral.proquest.com/lib/fudan-ebooks/detail.action?docID=5136256</t>
  </si>
  <si>
    <t>Zoom! : The faster way to make your business idea happen</t>
  </si>
  <si>
    <t>Sanders, Ian;Sloly, David</t>
  </si>
  <si>
    <t>https://ebookcentral.proquest.com/lib/fudan-ebooks/detail.action?docID=5136257</t>
  </si>
  <si>
    <t>Be Your Own Career Coach : The toolkit you need to build the career you want</t>
  </si>
  <si>
    <t>Pearson International</t>
  </si>
  <si>
    <t>Slater, Rus</t>
  </si>
  <si>
    <t>https://ebookcentral.proquest.com/lib/fudan-ebooks/detail.action?docID=5136258</t>
  </si>
  <si>
    <t>Mastering Financial Calculations : A step-by-step guide to the mathematics of financial market instruments</t>
  </si>
  <si>
    <t>Steiner, Bob</t>
  </si>
  <si>
    <t>https://ebookcentral.proquest.com/lib/fudan-ebooks/detail.action?docID=5136260</t>
  </si>
  <si>
    <t>Brilliant Start-Up : How successful entrepreneurs set up and run a brilliant business</t>
  </si>
  <si>
    <t>Woods, Caspian</t>
  </si>
  <si>
    <t>https://ebookcentral.proquest.com/lib/fudan-ebooks/detail.action?docID=5136268</t>
  </si>
  <si>
    <t>Coach Yourself : Make Real Changes in Your Life</t>
  </si>
  <si>
    <t>Grant, Anthony;Greene, Jane; Greene, Jane</t>
  </si>
  <si>
    <t>https://ebookcentral.proquest.com/lib/fudan-ebooks/detail.action?docID=5136276</t>
  </si>
  <si>
    <t>How to be assertive in any situation</t>
  </si>
  <si>
    <t>Hadfield, Sue;Hasson, Gill; Hasson, Gill</t>
  </si>
  <si>
    <t>https://ebookcentral.proquest.com/lib/fudan-ebooks/detail.action?docID=5136277</t>
  </si>
  <si>
    <t>Brilliant Verbal Reasoning Tests : Everything you need to know to pass verbal reasoning tests</t>
  </si>
  <si>
    <t>Williams, Rob</t>
  </si>
  <si>
    <t>https://ebookcentral.proquest.com/lib/fudan-ebooks/detail.action?docID=5136290</t>
  </si>
  <si>
    <t>Brilliant Numeracy Tests : Everything you need to know to pass numeracy tests</t>
  </si>
  <si>
    <t>https://ebookcentral.proquest.com/lib/fudan-ebooks/detail.action?docID=5136291</t>
  </si>
  <si>
    <t>Killer CVs and Hidden Approaches</t>
  </si>
  <si>
    <t>Perkins, Graham</t>
  </si>
  <si>
    <t>https://ebookcentral.proquest.com/lib/fudan-ebooks/detail.action?docID=5136298</t>
  </si>
  <si>
    <t>How to Get What You Want Without Having To Ask</t>
  </si>
  <si>
    <t>Prentice Hall Life</t>
  </si>
  <si>
    <t>Templar, Richard</t>
  </si>
  <si>
    <t>https://ebookcentral.proquest.com/lib/fudan-ebooks/detail.action?docID=5136326</t>
  </si>
  <si>
    <t>Modern Systems Analysis and Design, Global Edition</t>
  </si>
  <si>
    <t>Hoffer, Jeffrey A.;George, Joey;Valacich, Joseph A.</t>
  </si>
  <si>
    <t>https://ebookcentral.proquest.com/lib/fudan-ebooks/detail.action?docID=5136337</t>
  </si>
  <si>
    <t>CV Book 2nd edn : Your definitive guide to writing the perfect CV</t>
  </si>
  <si>
    <t>Innes, James</t>
  </si>
  <si>
    <t>https://ebookcentral.proquest.com/lib/fudan-ebooks/detail.action?docID=5136338</t>
  </si>
  <si>
    <t>Interview Book : Your definitive guide to the perfect interview</t>
  </si>
  <si>
    <t>https://ebookcentral.proquest.com/lib/fudan-ebooks/detail.action?docID=5136339</t>
  </si>
  <si>
    <t>Cover Letter Book : Your definitive guide to writing the perfect cover letter</t>
  </si>
  <si>
    <t>https://ebookcentral.proquest.com/lib/fudan-ebooks/detail.action?docID=5136340</t>
  </si>
  <si>
    <t>Brilliant Manager 3e : What the Best Managers Know, Do and Say</t>
  </si>
  <si>
    <t>Prentice Hall</t>
  </si>
  <si>
    <t>Peeling, Nic</t>
  </si>
  <si>
    <t>https://ebookcentral.proquest.com/lib/fudan-ebooks/detail.action?docID=5136341</t>
  </si>
  <si>
    <t>Law Express: International Law (Revision Guide)</t>
  </si>
  <si>
    <t>Allen, Stephen</t>
  </si>
  <si>
    <t>Law</t>
  </si>
  <si>
    <t>https://ebookcentral.proquest.com/lib/fudan-ebooks/detail.action?docID=5136346</t>
  </si>
  <si>
    <t>Law Express: Intellectual Property Law (Revision Guide)</t>
  </si>
  <si>
    <t>Bainbridge, David;Howell, Claire</t>
  </si>
  <si>
    <t>https://ebookcentral.proquest.com/lib/fudan-ebooks/detail.action?docID=5136356</t>
  </si>
  <si>
    <t>Human Resource Management : A Contemporary Approach</t>
  </si>
  <si>
    <t>Beardwell, Julie;Claydon, Tim; Claydon, Tim</t>
  </si>
  <si>
    <t>https://ebookcentral.proquest.com/lib/fudan-ebooks/detail.action?docID=5136361</t>
  </si>
  <si>
    <t>Law Express: Employment Law (Revision Guide)</t>
  </si>
  <si>
    <t>Cabrelli, David</t>
  </si>
  <si>
    <t>https://ebookcentral.proquest.com/lib/fudan-ebooks/detail.action?docID=5136388</t>
  </si>
  <si>
    <t>Brilliant Speed Reading : Whatever you need to read, however you want to read it - twice as quickly</t>
  </si>
  <si>
    <t>Chambers, Phil</t>
  </si>
  <si>
    <t>Language/Linguistics</t>
  </si>
  <si>
    <t>https://ebookcentral.proquest.com/lib/fudan-ebooks/detail.action?docID=5136395</t>
  </si>
  <si>
    <t>Statistics without Maths for Psychology : UEL</t>
  </si>
  <si>
    <t>Dancey, Christine;Reidy, John; Reidy, John</t>
  </si>
  <si>
    <t>https://ebookcentral.proquest.com/lib/fudan-ebooks/detail.action?docID=5136409</t>
  </si>
  <si>
    <t>Law Express: Human Rights (Revision Guide)</t>
  </si>
  <si>
    <t>De Than, Claire;Shorts, Edwin</t>
  </si>
  <si>
    <t>https://ebookcentral.proquest.com/lib/fudan-ebooks/detail.action?docID=5136415</t>
  </si>
  <si>
    <t>Law Express: Land Law (Revision Guide)</t>
  </si>
  <si>
    <t>Duddington, John</t>
  </si>
  <si>
    <t>https://ebookcentral.proquest.com/lib/fudan-ebooks/detail.action?docID=5136427</t>
  </si>
  <si>
    <t>Law Express: Equity and Trusts (Revision Guide)</t>
  </si>
  <si>
    <t>https://ebookcentral.proquest.com/lib/fudan-ebooks/detail.action?docID=5136428</t>
  </si>
  <si>
    <t>Law Express: English Legal System (Revision Guide)</t>
  </si>
  <si>
    <t>Finch, Emily;Fafinski, Stefan</t>
  </si>
  <si>
    <t>https://ebookcentral.proquest.com/lib/fudan-ebooks/detail.action?docID=5136442</t>
  </si>
  <si>
    <t>Law Express: Exam Success (Revision Guide)</t>
  </si>
  <si>
    <t>Longman</t>
  </si>
  <si>
    <t>Finch, Emily;Fafinski, Stefan; Fafinski, Stefan</t>
  </si>
  <si>
    <t>https://ebookcentral.proquest.com/lib/fudan-ebooks/detail.action?docID=5136443</t>
  </si>
  <si>
    <t>Law Express: Tort Law (Revision Guide)</t>
  </si>
  <si>
    <t>Law Express</t>
  </si>
  <si>
    <t>https://ebookcentral.proquest.com/lib/fudan-ebooks/detail.action?docID=5136444</t>
  </si>
  <si>
    <t>Law Express: Criminal Law (Revision Guide)</t>
  </si>
  <si>
    <t>https://ebookcentral.proquest.com/lib/fudan-ebooks/detail.action?docID=5136445</t>
  </si>
  <si>
    <t>Elements of Chemical Reaction Engineering: Pearson New International Edition</t>
  </si>
  <si>
    <t>Fogler, H. Scott</t>
  </si>
  <si>
    <t>Engineering; Engineering: Chemical</t>
  </si>
  <si>
    <t>https://ebookcentral.proquest.com/lib/fudan-ebooks/detail.action?docID=5136447</t>
  </si>
  <si>
    <t>Logistics Management and Strategy</t>
  </si>
  <si>
    <t>Harrison, Alan;Van Hoek, Remko; Van Hoek, Remko</t>
  </si>
  <si>
    <t>https://ebookcentral.proquest.com/lib/fudan-ebooks/detail.action?docID=5136462</t>
  </si>
  <si>
    <t>Law Express: Medical Law (Revision Guide)</t>
  </si>
  <si>
    <t>Herring, Jonathan</t>
  </si>
  <si>
    <t>https://ebookcentral.proquest.com/lib/fudan-ebooks/detail.action?docID=5136467</t>
  </si>
  <si>
    <t>Law Express: Family Law (Revision Guide)</t>
  </si>
  <si>
    <t>https://ebookcentral.proquest.com/lib/fudan-ebooks/detail.action?docID=5136468</t>
  </si>
  <si>
    <t>Brilliant Answers to Tough Interview Questions</t>
  </si>
  <si>
    <t>Hodgson, Susan</t>
  </si>
  <si>
    <t>https://ebookcentral.proquest.com/lib/fudan-ebooks/detail.action?docID=5136471</t>
  </si>
  <si>
    <t>Brilliant Copywriting : What the best copywriters know, do and say</t>
  </si>
  <si>
    <t>Horberry, Roger</t>
  </si>
  <si>
    <t>https://ebookcentral.proquest.com/lib/fudan-ebooks/detail.action?docID=5136474</t>
  </si>
  <si>
    <t>Introduction to Research Methods in Psychology</t>
  </si>
  <si>
    <t>Howitt, Dennis;Cramer, Duncan; Cramer, Duncan</t>
  </si>
  <si>
    <t>https://ebookcentral.proquest.com/lib/fudan-ebooks/detail.action?docID=5136476</t>
  </si>
  <si>
    <t>Introduction to SPSS Statistics in Psychology : For version 19 and earlier</t>
  </si>
  <si>
    <t>https://ebookcentral.proquest.com/lib/fudan-ebooks/detail.action?docID=5136477</t>
  </si>
  <si>
    <t>Fundamentals of Strategy</t>
  </si>
  <si>
    <t>Johnson, Gerry;Whittington, Richard;Scholes, Kevan; Scholes, Kevan; Whittington, Richard</t>
  </si>
  <si>
    <t>https://ebookcentral.proquest.com/lib/fudan-ebooks/detail.action?docID=5136482</t>
  </si>
  <si>
    <t>Speech and Language Processing: Pearson New International Edition</t>
  </si>
  <si>
    <t>Jurafsky, Daniel;Martin, James H.</t>
  </si>
  <si>
    <t>https://ebookcentral.proquest.com/lib/fudan-ebooks/detail.action?docID=5136483</t>
  </si>
  <si>
    <t>Law Express: EU Law (Revision Guide)</t>
  </si>
  <si>
    <t>Kirk, Ewan</t>
  </si>
  <si>
    <t>https://ebookcentral.proquest.com/lib/fudan-ebooks/detail.action?docID=5136490</t>
  </si>
  <si>
    <t>Elementary Statistics: Pearson New International Edition : Picturing the World</t>
  </si>
  <si>
    <t>Larson, Ron;Farber, Betsy</t>
  </si>
  <si>
    <t>Mathematics</t>
  </si>
  <si>
    <t>https://ebookcentral.proquest.com/lib/fudan-ebooks/detail.action?docID=5136496</t>
  </si>
  <si>
    <t>E-Commerce 2013: Global Edition : Laudon: E-Commerce 2013 CSeTxt_o9</t>
  </si>
  <si>
    <t>Laudon, Kenneth;Traver, Carol</t>
  </si>
  <si>
    <t>https://ebookcentral.proquest.com/lib/fudan-ebooks/detail.action?docID=5136497</t>
  </si>
  <si>
    <t>Linear Algebra and Its Applications: Pearson New International Edition</t>
  </si>
  <si>
    <t>Lay, David C.</t>
  </si>
  <si>
    <t>https://ebookcentral.proquest.com/lib/fudan-ebooks/detail.action?docID=5136499</t>
  </si>
  <si>
    <t>Selling For Entrepreneurs</t>
  </si>
  <si>
    <t>Lennon, Kathryn</t>
  </si>
  <si>
    <t>https://ebookcentral.proquest.com/lib/fudan-ebooks/detail.action?docID=5136501</t>
  </si>
  <si>
    <t>Be Your Own Financial Adviser : The comprehensive guide to wealth and financial planning</t>
  </si>
  <si>
    <t>Lowe, Jonquil</t>
  </si>
  <si>
    <t>Business/Management; Economics</t>
  </si>
  <si>
    <t>https://ebookcentral.proquest.com/lib/fudan-ebooks/detail.action?docID=5136511</t>
  </si>
  <si>
    <t>Business Law : UEL</t>
  </si>
  <si>
    <t>MacIntyre, Ewan</t>
  </si>
  <si>
    <t>https://ebookcentral.proquest.com/lib/fudan-ebooks/detail.action?docID=5136517</t>
  </si>
  <si>
    <t>Law Express: Business Law (Revision Guide)</t>
  </si>
  <si>
    <t>https://ebookcentral.proquest.com/lib/fudan-ebooks/detail.action?docID=5136518</t>
  </si>
  <si>
    <t>Study Skills for Science, Engineering and Technology Students</t>
  </si>
  <si>
    <t>Maier, Pat;Barney, Anna;Price, Geraldine; Barney, Anna; Price, Geraldine</t>
  </si>
  <si>
    <t>Science: General; Science</t>
  </si>
  <si>
    <t>https://ebookcentral.proquest.com/lib/fudan-ebooks/detail.action?docID=5136521</t>
  </si>
  <si>
    <t>Allyn &amp; Bacon</t>
  </si>
  <si>
    <t>Martin, G. Neil;Carlson, Neil R.;Buskist, William</t>
  </si>
  <si>
    <t>https://ebookcentral.proquest.com/lib/fudan-ebooks/detail.action?docID=5136525</t>
  </si>
  <si>
    <t>Business Finance</t>
  </si>
  <si>
    <t>McLaney, Eddie</t>
  </si>
  <si>
    <t>https://ebookcentral.proquest.com/lib/fudan-ebooks/detail.action?docID=5136532</t>
  </si>
  <si>
    <t>Power Electronics: Pearson New International Edition : Circuits, Devices and Applications</t>
  </si>
  <si>
    <t>Rashid, Muhammad H.</t>
  </si>
  <si>
    <t>Engineering: Electrical; Engineering</t>
  </si>
  <si>
    <t>https://ebookcentral.proquest.com/lib/fudan-ebooks/detail.action?docID=5136561</t>
  </si>
  <si>
    <t>College Algebra and Trigonometry: Pearson New International Edition</t>
  </si>
  <si>
    <t>Ratti, J. S.;McWaters, Marcus S.</t>
  </si>
  <si>
    <t>https://ebookcentral.proquest.com/lib/fudan-ebooks/detail.action?docID=5136562</t>
  </si>
  <si>
    <t>Bioprocess Engineering: Pearson New International Edition : Basic Concepts</t>
  </si>
  <si>
    <t>Shuler, Michael L.;Kargi, Fikret</t>
  </si>
  <si>
    <t>https://ebookcentral.proquest.com/lib/fudan-ebooks/detail.action?docID=5136583</t>
  </si>
  <si>
    <t>Operations Management</t>
  </si>
  <si>
    <t>Slack, Nigel;Chambers, Stuart;Johnston, Robert; Chambers, Stuart; Johnston, Robert</t>
  </si>
  <si>
    <t>https://ebookcentral.proquest.com/lib/fudan-ebooks/detail.action?docID=5136585</t>
  </si>
  <si>
    <t>Property Law, seventh edition</t>
  </si>
  <si>
    <t>Smith, Roger</t>
  </si>
  <si>
    <t>https://ebookcentral.proquest.com/lib/fudan-ebooks/detail.action?docID=5136590</t>
  </si>
  <si>
    <t>Law Express: Environmental Law (Revision Guide)</t>
  </si>
  <si>
    <t>Sneddon, Simon</t>
  </si>
  <si>
    <t>https://ebookcentral.proquest.com/lib/fudan-ebooks/detail.action?docID=5136591</t>
  </si>
  <si>
    <t>E-Marketing: Pearson New International Edition</t>
  </si>
  <si>
    <t>Strauss, Judy;Frost, Raymond</t>
  </si>
  <si>
    <t>https://ebookcentral.proquest.com/lib/fudan-ebooks/detail.action?docID=5136596</t>
  </si>
  <si>
    <t>Law Express: Company Law (Revision Guide)</t>
  </si>
  <si>
    <t>Taylor, Chris</t>
  </si>
  <si>
    <t>https://ebookcentral.proquest.com/lib/fudan-ebooks/detail.action?docID=5136601</t>
  </si>
  <si>
    <t>Law Express: Evidence (Revision Guide)</t>
  </si>
  <si>
    <t>https://ebookcentral.proquest.com/lib/fudan-ebooks/detail.action?docID=5136602</t>
  </si>
  <si>
    <t>Law Express: Constitutional and Administrative Law (Revision Guide)</t>
  </si>
  <si>
    <t>https://ebookcentral.proquest.com/lib/fudan-ebooks/detail.action?docID=5136603</t>
  </si>
  <si>
    <t>Law Express: Consumer and Commercial Law (Revision Guide)</t>
  </si>
  <si>
    <t>Tillson, Judith</t>
  </si>
  <si>
    <t>https://ebookcentral.proquest.com/lib/fudan-ebooks/detail.action?docID=5136608</t>
  </si>
  <si>
    <t>Criminal Law</t>
  </si>
  <si>
    <t>Wilson, William</t>
  </si>
  <si>
    <t>https://ebookcentral.proquest.com/lib/fudan-ebooks/detail.action?docID=5136627</t>
  </si>
  <si>
    <t>Marketing for Entrepreneurs</t>
  </si>
  <si>
    <t>Wolff, Jurgen</t>
  </si>
  <si>
    <t>https://ebookcentral.proquest.com/lib/fudan-ebooks/detail.action?docID=5136628</t>
  </si>
  <si>
    <t>Focus : Use the power of targeted thinking to get more done</t>
  </si>
  <si>
    <t>https://ebookcentral.proquest.com/lib/fudan-ebooks/detail.action?docID=5136629</t>
  </si>
  <si>
    <t>Little, Brown Essential Handbook: Pearson New International Edition</t>
  </si>
  <si>
    <t>Aaron, Jane E.</t>
  </si>
  <si>
    <t>https://ebookcentral.proquest.com/lib/fudan-ebooks/detail.action?docID=5136639</t>
  </si>
  <si>
    <t>Understanding Weather and Climate: Pearson New International Edition</t>
  </si>
  <si>
    <t>Aguado, Edward;Burt, James E.</t>
  </si>
  <si>
    <t>https://ebookcentral.proquest.com/lib/fudan-ebooks/detail.action?docID=5136641</t>
  </si>
  <si>
    <t>International Marketing &amp; Export Management : University of the West Indies</t>
  </si>
  <si>
    <t>Albaum, Gerald;Duerr, Edwin; Duerr, Edwin</t>
  </si>
  <si>
    <t>https://ebookcentral.proquest.com/lib/fudan-ebooks/detail.action?docID=5136642</t>
  </si>
  <si>
    <t>Introduction to Materials Management: Pearson New International Edition</t>
  </si>
  <si>
    <t>Arnold, J. R. Tony;Chapman, Stephen N.;Clive, Lloyd M.</t>
  </si>
  <si>
    <t>https://ebookcentral.proquest.com/lib/fudan-ebooks/detail.action?docID=5136645</t>
  </si>
  <si>
    <t>Foundations of Macroeconomics: Pearson New International Edition</t>
  </si>
  <si>
    <t>Bade, Robin;Parkin, Michael</t>
  </si>
  <si>
    <t>https://ebookcentral.proquest.com/lib/fudan-ebooks/detail.action?docID=5136651</t>
  </si>
  <si>
    <t>Introduction to International Political Economy: Pearson New International Edition</t>
  </si>
  <si>
    <t>Balaam, David N.;Dillman, Bradford; Dillman, Bradford L.</t>
  </si>
  <si>
    <t>https://ebookcentral.proquest.com/lib/fudan-ebooks/detail.action?docID=5136652</t>
  </si>
  <si>
    <t>Calculus for Business, Economics, Life Sciences and Social Sciences: Pearson New International Edition</t>
  </si>
  <si>
    <t>Barnett, Raymond A.;Ziegler, Michael R.;Byleen, Karl E.</t>
  </si>
  <si>
    <t>https://ebookcentral.proquest.com/lib/fudan-ebooks/detail.action?docID=5136655</t>
  </si>
  <si>
    <t>College Mathematics for Business, Economics, Life Sciences and Social Sciences: Pearson New International Edition</t>
  </si>
  <si>
    <t>https://ebookcentral.proquest.com/lib/fudan-ebooks/detail.action?docID=5136656</t>
  </si>
  <si>
    <t>Finite Mathematics for Business, Economics, Life Sciences and Social Sciences: Pearson New International Edition</t>
  </si>
  <si>
    <t>https://ebookcentral.proquest.com/lib/fudan-ebooks/detail.action?docID=5136657</t>
  </si>
  <si>
    <t>Microbiology with Diseases by Body System: Pearson New International Edition</t>
  </si>
  <si>
    <t>Bauman, Robert W.</t>
  </si>
  <si>
    <t>https://ebookcentral.proquest.com/lib/fudan-ebooks/detail.action?docID=5136660</t>
  </si>
  <si>
    <t>Advanced Accounting: Pearson New International Edition</t>
  </si>
  <si>
    <t>Beams, Floyd A.;Anthony, Joseph H.;Bettinghaus, Bruce</t>
  </si>
  <si>
    <t>https://ebookcentral.proquest.com/lib/fudan-ebooks/detail.action?docID=5136661</t>
  </si>
  <si>
    <t>Biology: Pearson New International Edition</t>
  </si>
  <si>
    <t>Belk, Colleen;Borden Maier, Virginia</t>
  </si>
  <si>
    <t>https://ebookcentral.proquest.com/lib/fudan-ebooks/detail.action?docID=5136663</t>
  </si>
  <si>
    <t>Designing Interactive Systems</t>
  </si>
  <si>
    <t>Addison Wesley</t>
  </si>
  <si>
    <t>Benyon, David</t>
  </si>
  <si>
    <t>https://ebookcentral.proquest.com/lib/fudan-ebooks/detail.action?docID=5136664</t>
  </si>
  <si>
    <t>Basic Business Statistics: Global Edition</t>
  </si>
  <si>
    <t>Pearson Education</t>
  </si>
  <si>
    <t>Berenson, Mark;Levine, David;Krehbiel, Timothy; Levine, David; Krehbiel, Timothy; Stephan, David</t>
  </si>
  <si>
    <t>Business/Management; Mathematics</t>
  </si>
  <si>
    <t>https://ebookcentral.proquest.com/lib/fudan-ebooks/detail.action?docID=5136665</t>
  </si>
  <si>
    <t>Communicating: Pearson New International Edition</t>
  </si>
  <si>
    <t>Berko, Roy M.;Wolvin, Andrew D.;Wolvin, Darlyn R.; Wolvin, Andrew D.; Wolvin, Darlyn R.; Aitken, Joan E.</t>
  </si>
  <si>
    <t>Social Science</t>
  </si>
  <si>
    <t>https://ebookcentral.proquest.com/lib/fudan-ebooks/detail.action?docID=5136666</t>
  </si>
  <si>
    <t>Basic College Mathematics: Pearson New International Edition</t>
  </si>
  <si>
    <t>Bittinger, Marvin L</t>
  </si>
  <si>
    <t>https://ebookcentral.proquest.com/lib/fudan-ebooks/detail.action?docID=5136669</t>
  </si>
  <si>
    <t>Intermediate Algebra: Pearson New International Edition</t>
  </si>
  <si>
    <t>Bittinger, Marvin L.</t>
  </si>
  <si>
    <t>https://ebookcentral.proquest.com/lib/fudan-ebooks/detail.action?docID=5136670</t>
  </si>
  <si>
    <t>Basic College Mathematics with Early Integers: Pearson New International Edition</t>
  </si>
  <si>
    <t>Bittinger, Marvin L.;Penna, Judith A</t>
  </si>
  <si>
    <t>https://ebookcentral.proquest.com/lib/fudan-ebooks/detail.action?docID=5136671</t>
  </si>
  <si>
    <t>Introductory and Intermediate Algebra: Pearson New International Edition</t>
  </si>
  <si>
    <t>Bittinger, Marvin L;Beecher, Judith A</t>
  </si>
  <si>
    <t>https://ebookcentral.proquest.com/lib/fudan-ebooks/detail.action?docID=5136672</t>
  </si>
  <si>
    <t>Calculus and Its Applications: Pearson New International Edition</t>
  </si>
  <si>
    <t>Bittinger, Marvin L;Ellenbogen, David J.;Surgent, Scott J.</t>
  </si>
  <si>
    <t>https://ebookcentral.proquest.com/lib/fudan-ebooks/detail.action?docID=5136673</t>
  </si>
  <si>
    <t>Mechatronics</t>
  </si>
  <si>
    <t>Bolton, W.</t>
  </si>
  <si>
    <t>Engineering: General; Engineering; Engineering: Mechanical</t>
  </si>
  <si>
    <t>https://ebookcentral.proquest.com/lib/fudan-ebooks/detail.action?docID=5136678</t>
  </si>
  <si>
    <t>Business Communication Essentials: Pearson New International Edition</t>
  </si>
  <si>
    <t>Bovee, Courtland;Thill, John V</t>
  </si>
  <si>
    <t>https://ebookcentral.proquest.com/lib/fudan-ebooks/detail.action?docID=5136681</t>
  </si>
  <si>
    <t>Business in Action: Pearson New International Edition</t>
  </si>
  <si>
    <t>https://ebookcentral.proquest.com/lib/fudan-ebooks/detail.action?docID=5136682</t>
  </si>
  <si>
    <t>Introductory Circuit Analysis: Pearson New International Edition</t>
  </si>
  <si>
    <t>Boylestad, Robert L.</t>
  </si>
  <si>
    <t>https://ebookcentral.proquest.com/lib/fudan-ebooks/detail.action?docID=5136684</t>
  </si>
  <si>
    <t>Financial Management: International Edition</t>
  </si>
  <si>
    <t>Brooks, Raymond</t>
  </si>
  <si>
    <t>https://ebookcentral.proquest.com/lib/fudan-ebooks/detail.action?docID=5136688</t>
  </si>
  <si>
    <t>Computer Science: An Overview</t>
  </si>
  <si>
    <t>Brookshear, J. Glenn</t>
  </si>
  <si>
    <t>https://ebookcentral.proquest.com/lib/fudan-ebooks/detail.action?docID=5136689</t>
  </si>
  <si>
    <t>Understanding Cross-Cultural Management</t>
  </si>
  <si>
    <t>Browaeys, Marie-Joelle;Price, Roger; Price, Roger</t>
  </si>
  <si>
    <t>https://ebookcentral.proquest.com/lib/fudan-ebooks/detail.action?docID=5136690</t>
  </si>
  <si>
    <t>Chemistry: Pearson New International Edition</t>
  </si>
  <si>
    <t>Brown, Theodore E;LeMay, H. Eugene H;Bursten, Bruce E; LeMay, H. Eugene H.; Bursten, Bruce E.; Murphy, Catherine; Woodward, Patrick</t>
  </si>
  <si>
    <t>Science: Chemistry; Science</t>
  </si>
  <si>
    <t>https://ebookcentral.proquest.com/lib/fudan-ebooks/detail.action?docID=5136691</t>
  </si>
  <si>
    <t>Asking the Right Questions: Pearson New International Edition</t>
  </si>
  <si>
    <t>Browne, M. Neil;Keeley, Stuart M.</t>
  </si>
  <si>
    <t>https://ebookcentral.proquest.com/lib/fudan-ebooks/detail.action?docID=5136692</t>
  </si>
  <si>
    <t>Organic Chemistry: Pearson New International Edition</t>
  </si>
  <si>
    <t>Bruice, Paula Y.</t>
  </si>
  <si>
    <t>Science; Science: Chemistry</t>
  </si>
  <si>
    <t>https://ebookcentral.proquest.com/lib/fudan-ebooks/detail.action?docID=5136693</t>
  </si>
  <si>
    <t>Essential Organic Chemistry: Pearson New International Edition</t>
  </si>
  <si>
    <t>https://ebookcentral.proquest.com/lib/fudan-ebooks/detail.action?docID=5136694</t>
  </si>
  <si>
    <t>Evolutionary Psychology: Pearson New International Edition</t>
  </si>
  <si>
    <t>Buss, David</t>
  </si>
  <si>
    <t>https://ebookcentral.proquest.com/lib/fudan-ebooks/detail.action?docID=5136696</t>
  </si>
  <si>
    <t>Business Student's Handbook : Skills for study and employment</t>
  </si>
  <si>
    <t>Cameron, Sheila</t>
  </si>
  <si>
    <t>https://ebookcentral.proquest.com/lib/fudan-ebooks/detail.action?docID=5136697</t>
  </si>
  <si>
    <t>MBA Handbook : Academic and Professional Skills for Mastering Management</t>
  </si>
  <si>
    <t>https://ebookcentral.proquest.com/lib/fudan-ebooks/detail.action?docID=5136698</t>
  </si>
  <si>
    <t>Constitutional and Administrative Law 7th edn : UEL</t>
  </si>
  <si>
    <t>Carroll, Alex</t>
  </si>
  <si>
    <t>https://ebookcentral.proquest.com/lib/fudan-ebooks/detail.action?docID=5136702</t>
  </si>
  <si>
    <t>Digital Marketing</t>
  </si>
  <si>
    <t>Chaffey, Dave;Ellis-Chadwick, Fiona</t>
  </si>
  <si>
    <t>https://ebookcentral.proquest.com/lib/fudan-ebooks/detail.action?docID=5136707</t>
  </si>
  <si>
    <t>Contemporary Business and Online Commerce Law: Pearson New International Edition</t>
  </si>
  <si>
    <t>Cheeseman, Henry R.</t>
  </si>
  <si>
    <t>https://ebookcentral.proquest.com/lib/fudan-ebooks/detail.action?docID=5136709</t>
  </si>
  <si>
    <t>Research Methods, Design, and Analysis: Pearson New International Edition</t>
  </si>
  <si>
    <t>Christensen, Larry B.;Johnson, R. Burke;Turner, Lisa A.</t>
  </si>
  <si>
    <t>https://ebookcentral.proquest.com/lib/fudan-ebooks/detail.action?docID=5136711</t>
  </si>
  <si>
    <t>Media Ethics: Pearson New International Edition</t>
  </si>
  <si>
    <t>Christians, Clifford G.;Fackler, Mark;Richardson, Kathy Brittain</t>
  </si>
  <si>
    <t>https://ebookcentral.proquest.com/lib/fudan-ebooks/detail.action?docID=5136712</t>
  </si>
  <si>
    <t>Geosystems: Pearson New International Edition</t>
  </si>
  <si>
    <t>Christopherson, Robert W.</t>
  </si>
  <si>
    <t>https://ebookcentral.proquest.com/lib/fudan-ebooks/detail.action?docID=5136713</t>
  </si>
  <si>
    <t>Psychology: Pearson New International Edition</t>
  </si>
  <si>
    <t>Ciccarelli, Saundra K.;White, J. Noland</t>
  </si>
  <si>
    <t>https://ebookcentral.proquest.com/lib/fudan-ebooks/detail.action?docID=5136715</t>
  </si>
  <si>
    <t>Brilliant Influence : What the Most Influential People Know, Do and Say</t>
  </si>
  <si>
    <t>Clayton, Mike</t>
  </si>
  <si>
    <t>https://ebookcentral.proquest.com/lib/fudan-ebooks/detail.action?docID=5136716</t>
  </si>
  <si>
    <t>Teaching of Instrumental Music: Pearson New International Edition</t>
  </si>
  <si>
    <t>Colwell, Richard J.;Hewitt, Michael</t>
  </si>
  <si>
    <t>https://ebookcentral.proquest.com/lib/fudan-ebooks/detail.action?docID=5136719</t>
  </si>
  <si>
    <t>Law of Tort 11th edn : UEL</t>
  </si>
  <si>
    <t>Cooke, John</t>
  </si>
  <si>
    <t>https://ebookcentral.proquest.com/lib/fudan-ebooks/detail.action?docID=5136722</t>
  </si>
  <si>
    <t>Introduction to Logic: Pearson New International Edition</t>
  </si>
  <si>
    <t>Copi, Irving M;Cohen, Carl;McMahon, Kenneth; Cohen, Carl; Rodych, Victor</t>
  </si>
  <si>
    <t>Philosophy</t>
  </si>
  <si>
    <t>https://ebookcentral.proquest.com/lib/fudan-ebooks/detail.action?docID=5136723</t>
  </si>
  <si>
    <t>Short Guide to writing about Film:Pearson New International Edition</t>
  </si>
  <si>
    <t>Corrigan, Timothy</t>
  </si>
  <si>
    <t>https://ebookcentral.proquest.com/lib/fudan-ebooks/detail.action?docID=5136724</t>
  </si>
  <si>
    <t>Theories of Development: Pearson New International Edition</t>
  </si>
  <si>
    <t>Crain, William</t>
  </si>
  <si>
    <t>https://ebookcentral.proquest.com/lib/fudan-ebooks/detail.action?docID=5136726</t>
  </si>
  <si>
    <t>Foundation Maths</t>
  </si>
  <si>
    <t>Croft, Anthony;Davison, Robert; Davison, Robert</t>
  </si>
  <si>
    <t>https://ebookcentral.proquest.com/lib/fudan-ebooks/detail.action?docID=5136727</t>
  </si>
  <si>
    <t>Advanced Medical Life Support: Pearson New International Edition</t>
  </si>
  <si>
    <t>Dalton, Twink M.;Limmer, Daniel;Mistovich, Joseph J.; Limmer, Daniel J., EMT-P; Mistovich, Joseph J.; Werman, Howard</t>
  </si>
  <si>
    <t>Medicine</t>
  </si>
  <si>
    <t>https://ebookcentral.proquest.com/lib/fudan-ebooks/detail.action?docID=5136731</t>
  </si>
  <si>
    <t>Introduction to Human Geography</t>
  </si>
  <si>
    <t>Daniels, Peter;Sidaway, James;Bradshaw, Michael; Sidaway, James; Bradshaw, Michael; Shaw, Denis</t>
  </si>
  <si>
    <t>Environmental Studies; Social Science</t>
  </si>
  <si>
    <t>https://ebookcentral.proquest.com/lib/fudan-ebooks/detail.action?docID=5136732</t>
  </si>
  <si>
    <t>Motivation: Pearson New International Edition</t>
  </si>
  <si>
    <t>Deckers, Lambert; Cockerham, William C.</t>
  </si>
  <si>
    <t>https://ebookcentral.proquest.com/lib/fudan-ebooks/detail.action?docID=5136738</t>
  </si>
  <si>
    <t>Java How to Program</t>
  </si>
  <si>
    <t>Deitel, Harvey;Deitel, Paul J.</t>
  </si>
  <si>
    <t>https://ebookcentral.proquest.com/lib/fudan-ebooks/detail.action?docID=5136742</t>
  </si>
  <si>
    <t>Precalculus: Pearson New International Edition</t>
  </si>
  <si>
    <t>Demana, Franklin;Waits, Bert K.;Foley, Gregory D.</t>
  </si>
  <si>
    <t>https://ebookcentral.proquest.com/lib/fudan-ebooks/detail.action?docID=5136744</t>
  </si>
  <si>
    <t>Interpersonal Communication Book, The: Pearson New International Edition</t>
  </si>
  <si>
    <t>DeVito, Joseph A</t>
  </si>
  <si>
    <t>https://ebookcentral.proquest.com/lib/fudan-ebooks/detail.action?docID=5136748</t>
  </si>
  <si>
    <t>Human Communication: Pearson New International Edition</t>
  </si>
  <si>
    <t>https://ebookcentral.proquest.com/lib/fudan-ebooks/detail.action?docID=5136749</t>
  </si>
  <si>
    <t>Legal Aspects of Nursing</t>
  </si>
  <si>
    <t>Dimond, Bridgit</t>
  </si>
  <si>
    <t>https://ebookcentral.proquest.com/lib/fudan-ebooks/detail.action?docID=5136750</t>
  </si>
  <si>
    <t>Health: Pearson New International Edition</t>
  </si>
  <si>
    <t>Donatelle, Rebecca J.</t>
  </si>
  <si>
    <t>https://ebookcentral.proquest.com/lib/fudan-ebooks/detail.action?docID=5136752</t>
  </si>
  <si>
    <t>Law Express Question and Answer: Land Law</t>
  </si>
  <si>
    <t>https://ebookcentral.proquest.com/lib/fudan-ebooks/detail.action?docID=5136754</t>
  </si>
  <si>
    <t>Law Express Question and Answer: Equity and Trusts</t>
  </si>
  <si>
    <t>https://ebookcentral.proquest.com/lib/fudan-ebooks/detail.action?docID=5136755</t>
  </si>
  <si>
    <t>Trusts and Equity</t>
  </si>
  <si>
    <t>Edwards, Richard;Stockwell, Nigel</t>
  </si>
  <si>
    <t>https://ebookcentral.proquest.com/lib/fudan-ebooks/detail.action?docID=5136759</t>
  </si>
  <si>
    <t>Educational Psychology: Pearson New International Edition</t>
  </si>
  <si>
    <t>Eggen, Paul;Kauchak, Don P.</t>
  </si>
  <si>
    <t>https://ebookcentral.proquest.com/lib/fudan-ebooks/detail.action?docID=5136760</t>
  </si>
  <si>
    <t>Modern Labor Economics: Pearson New International Edition</t>
  </si>
  <si>
    <t>Ehrenberg, Ronald G;Smith, Robert S.</t>
  </si>
  <si>
    <t>https://ebookcentral.proquest.com/lib/fudan-ebooks/detail.action?docID=5136762</t>
  </si>
  <si>
    <t>Tort Law 9e</t>
  </si>
  <si>
    <t>Elliott, Catherine;Quinn, Frances; Quinn, Frances</t>
  </si>
  <si>
    <t>https://ebookcentral.proquest.com/lib/fudan-ebooks/detail.action?docID=5136769</t>
  </si>
  <si>
    <t>Contract Law</t>
  </si>
  <si>
    <t>Elliott, Catherine;Quinn, Frances</t>
  </si>
  <si>
    <t>https://ebookcentral.proquest.com/lib/fudan-ebooks/detail.action?docID=5136770</t>
  </si>
  <si>
    <t>Business Analytics: Pearson New International Edition</t>
  </si>
  <si>
    <t>Evans, James R.</t>
  </si>
  <si>
    <t>https://ebookcentral.proquest.com/lib/fudan-ebooks/detail.action?docID=5136777</t>
  </si>
  <si>
    <t>Discovering the Life Span: Pearson New International Edition</t>
  </si>
  <si>
    <t>Feldman, Robert S</t>
  </si>
  <si>
    <t>https://ebookcentral.proquest.com/lib/fudan-ebooks/detail.action?docID=5136780</t>
  </si>
  <si>
    <t>Meetings, Expositions, Events &amp; Conventions: Pearson New International Edition</t>
  </si>
  <si>
    <t>Fenich, George G.</t>
  </si>
  <si>
    <t>https://ebookcentral.proquest.com/lib/fudan-ebooks/detail.action?docID=5136782</t>
  </si>
  <si>
    <t>Digital Fundamentals: Pearson New International Edition</t>
  </si>
  <si>
    <t>Floyd, Thomas L</t>
  </si>
  <si>
    <t>https://ebookcentral.proquest.com/lib/fudan-ebooks/detail.action?docID=5136789</t>
  </si>
  <si>
    <t>Introducing Human Resource Management</t>
  </si>
  <si>
    <t>Foot, Margaret;Hook, Caroline; Hook, Caroline</t>
  </si>
  <si>
    <t>https://ebookcentral.proquest.com/lib/fudan-ebooks/detail.action?docID=5136791</t>
  </si>
  <si>
    <t>Little, Brown Handbook, The: Pearson New International Edition</t>
  </si>
  <si>
    <t>Fowler, H Ramsey;Aaron, Jane E.</t>
  </si>
  <si>
    <t>https://ebookcentral.proquest.com/lib/fudan-ebooks/detail.action?docID=5136795</t>
  </si>
  <si>
    <t>Evolutionary Analysis: Pearson New International Edition</t>
  </si>
  <si>
    <t>Freeman, Scott;Herron, Jon C.</t>
  </si>
  <si>
    <t>https://ebookcentral.proquest.com/lib/fudan-ebooks/detail.action?docID=5136796</t>
  </si>
  <si>
    <t>Starting Out with C++: From Control Structures through Objects</t>
  </si>
  <si>
    <t>Gaddis, Tony</t>
  </si>
  <si>
    <t>https://ebookcentral.proquest.com/lib/fudan-ebooks/detail.action?docID=5136798</t>
  </si>
  <si>
    <t>Starting Out with Python: Pearson New International Edition</t>
  </si>
  <si>
    <t>Computer Science/IT</t>
  </si>
  <si>
    <t>https://ebookcentral.proquest.com/lib/fudan-ebooks/detail.action?docID=5136799</t>
  </si>
  <si>
    <t>Starting out with Visual C# 2010: Pearson New International Edition</t>
  </si>
  <si>
    <t>https://ebookcentral.proquest.com/lib/fudan-ebooks/detail.action?docID=5136800</t>
  </si>
  <si>
    <t>Persuasion: Pearson New International Edition</t>
  </si>
  <si>
    <t>Gass, Robert H.;Seiter, John S.</t>
  </si>
  <si>
    <t>https://ebookcentral.proquest.com/lib/fudan-ebooks/detail.action?docID=5136803</t>
  </si>
  <si>
    <t>Educational Research: Pearson New International Edition</t>
  </si>
  <si>
    <t>Gay, Lorraine R.;Mills, Geoffrey E.;Airasian, Peter W.</t>
  </si>
  <si>
    <t>https://ebookcentral.proquest.com/lib/fudan-ebooks/detail.action?docID=5136804</t>
  </si>
  <si>
    <t>Law Express Question and Answer: Tort Law</t>
  </si>
  <si>
    <t>Geach, Neal</t>
  </si>
  <si>
    <t>https://ebookcentral.proquest.com/lib/fudan-ebooks/detail.action?docID=5136806</t>
  </si>
  <si>
    <t>Transport Processes and Separation Process Principles (Includes Unit Operations): Pearson New International Edition</t>
  </si>
  <si>
    <t>Geankoplis, Christie John</t>
  </si>
  <si>
    <t>https://ebookcentral.proquest.com/lib/fudan-ebooks/detail.action?docID=5136807</t>
  </si>
  <si>
    <t>Developmental Psychology</t>
  </si>
  <si>
    <t>Gillibrand, Rachel;Lam, Virginia;O'Donnell, Victoria L.; Gillibrand, Rachel; O'Donnell, Victoria L.</t>
  </si>
  <si>
    <t>Psychology; Business/Management</t>
  </si>
  <si>
    <t>https://ebookcentral.proquest.com/lib/fudan-ebooks/detail.action?docID=5136809</t>
  </si>
  <si>
    <t>Principles of Managerial Finance: Global Edition</t>
  </si>
  <si>
    <t>Gitman, Lawrence J.</t>
  </si>
  <si>
    <t>https://ebookcentral.proquest.com/lib/fudan-ebooks/detail.action?docID=5136811</t>
  </si>
  <si>
    <t>Occupational Safety and Health for Technologists, Engineers, and Managers: Pearson New International Edition</t>
  </si>
  <si>
    <t>Goetsch, David L.</t>
  </si>
  <si>
    <t>https://ebookcentral.proquest.com/lib/fudan-ebooks/detail.action?docID=5136813</t>
  </si>
  <si>
    <t>Theories of Human Development: Pearson New International Edition</t>
  </si>
  <si>
    <t>Green, Michael;Piel, John A.; Piel, John A.</t>
  </si>
  <si>
    <t>https://ebookcentral.proquest.com/lib/fudan-ebooks/detail.action?docID=5136814</t>
  </si>
  <si>
    <t>Psychological Testing: Pearson New International Edition</t>
  </si>
  <si>
    <t>Gregory, Robert J.</t>
  </si>
  <si>
    <t>https://ebookcentral.proquest.com/lib/fudan-ebooks/detail.action?docID=5136815</t>
  </si>
  <si>
    <t>Law Express Question and Answer: EU Law</t>
  </si>
  <si>
    <t>Guth, Jessica;Connor, Timothy; Connor, Timothy</t>
  </si>
  <si>
    <t>https://ebookcentral.proquest.com/lib/fudan-ebooks/detail.action?docID=5136817</t>
  </si>
  <si>
    <t>Law Express Question and Answer: Contract Law</t>
  </si>
  <si>
    <t>Hamilton, Marina</t>
  </si>
  <si>
    <t>https://ebookcentral.proquest.com/lib/fudan-ebooks/detail.action?docID=5136820</t>
  </si>
  <si>
    <t>Environment and Society: Pearson New International Edition</t>
  </si>
  <si>
    <t>Harper, Charles L.</t>
  </si>
  <si>
    <t>https://ebookcentral.proquest.com/lib/fudan-ebooks/detail.action?docID=5136823</t>
  </si>
  <si>
    <t>Family Law</t>
  </si>
  <si>
    <t>https://ebookcentral.proquest.com/lib/fudan-ebooks/detail.action?docID=5136827</t>
  </si>
  <si>
    <t>Conceptual Physics: Pearson New International Edition</t>
  </si>
  <si>
    <t>Hewitt, Paul G</t>
  </si>
  <si>
    <t>https://ebookcentral.proquest.com/lib/fudan-ebooks/detail.action?docID=5136828</t>
  </si>
  <si>
    <t>Practice Book for Conceptual Physics: Pearson New International Edition</t>
  </si>
  <si>
    <t>https://ebookcentral.proquest.com/lib/fudan-ebooks/detail.action?docID=5136829</t>
  </si>
  <si>
    <t>Chemistry For Changing Times: Pearson New International Edition</t>
  </si>
  <si>
    <t>Hill, John W.;McCreary, Terry W.;Kolb, Doris K.</t>
  </si>
  <si>
    <t>https://ebookcentral.proquest.com/lib/fudan-ebooks/detail.action?docID=5136833</t>
  </si>
  <si>
    <t>Hoffer:Modern Database Management International Edition_p11</t>
  </si>
  <si>
    <t>Hoffer, Jeffrey;Ramesh, V;Topi, Heikki</t>
  </si>
  <si>
    <t>https://ebookcentral.proquest.com/lib/fudan-ebooks/detail.action?docID=5136835</t>
  </si>
  <si>
    <t>Social Psychology</t>
  </si>
  <si>
    <t>Hogg, Michael;Vaughan, Graham; Vaughan, Graham</t>
  </si>
  <si>
    <t>https://ebookcentral.proquest.com/lib/fudan-ebooks/detail.action?docID=5136836</t>
  </si>
  <si>
    <t>Probability and Statistical Inference: Pearson New International Edition</t>
  </si>
  <si>
    <t>Hogg, Robert V.;Tanis, Elliot</t>
  </si>
  <si>
    <t>https://ebookcentral.proquest.com/lib/fudan-ebooks/detail.action?docID=5136837</t>
  </si>
  <si>
    <t>Global Marketing</t>
  </si>
  <si>
    <t>Hollensen, Svend</t>
  </si>
  <si>
    <t>https://ebookcentral.proquest.com/lib/fudan-ebooks/detail.action?docID=5136839</t>
  </si>
  <si>
    <t>Business of Tourism</t>
  </si>
  <si>
    <t>Holloway, Chris;Humphreys, Claire; Humphreys, Claire</t>
  </si>
  <si>
    <t>Geography/Travel; Tourism/Hospitality</t>
  </si>
  <si>
    <t>https://ebookcentral.proquest.com/lib/fudan-ebooks/detail.action?docID=5136840</t>
  </si>
  <si>
    <t>Introduction to Forensic and Criminal Psychology</t>
  </si>
  <si>
    <t>Howitt, Dennis</t>
  </si>
  <si>
    <t>Health; Social Science</t>
  </si>
  <si>
    <t>https://ebookcentral.proquest.com/lib/fudan-ebooks/detail.action?docID=5136845</t>
  </si>
  <si>
    <t>Introduction to Statistics in Psychology</t>
  </si>
  <si>
    <t>https://ebookcentral.proquest.com/lib/fudan-ebooks/detail.action?docID=5136846</t>
  </si>
  <si>
    <t>Electrical and Electronic Technology : UEL</t>
  </si>
  <si>
    <t>Hughes, Edward;Hiley, John;Brown, Keith; Hiley, John; Brown, Keith; Smith, Ian McKenzie</t>
  </si>
  <si>
    <t>https://ebookcentral.proquest.com/lib/fudan-ebooks/detail.action?docID=5136851</t>
  </si>
  <si>
    <t>Modern Engineering Mathematics</t>
  </si>
  <si>
    <t>James, Glyn</t>
  </si>
  <si>
    <t>https://ebookcentral.proquest.com/lib/fudan-ebooks/detail.action?docID=5136860</t>
  </si>
  <si>
    <t>Brilliant Interview</t>
  </si>
  <si>
    <t>Jay, Ros</t>
  </si>
  <si>
    <t>https://ebookcentral.proquest.com/lib/fudan-ebooks/detail.action?docID=5136861</t>
  </si>
  <si>
    <t>Criminal Law 11e</t>
  </si>
  <si>
    <t>Jefferson, Michael</t>
  </si>
  <si>
    <t>https://ebookcentral.proquest.com/lib/fudan-ebooks/detail.action?docID=5136863</t>
  </si>
  <si>
    <t>Selling and Sales Management</t>
  </si>
  <si>
    <t>Jobber, David;Lancaster, Geoffrey; Lancaster, Geoffrey</t>
  </si>
  <si>
    <t>https://ebookcentral.proquest.com/lib/fudan-ebooks/detail.action?docID=5136864</t>
  </si>
  <si>
    <t>Children and Their Development: Pearson New International Edition</t>
  </si>
  <si>
    <t>Kail, Robert V.</t>
  </si>
  <si>
    <t>https://ebookcentral.proquest.com/lib/fudan-ebooks/detail.action?docID=5136868</t>
  </si>
  <si>
    <t>Death, Society and Human Experience: Pearson New International Edition</t>
  </si>
  <si>
    <t>Kastenbaum, Robert J.</t>
  </si>
  <si>
    <t>https://ebookcentral.proquest.com/lib/fudan-ebooks/detail.action?docID=5136869</t>
  </si>
  <si>
    <t>Strategic Marketing Problems: International Edition</t>
  </si>
  <si>
    <t>Kerin, Roger;Peterson, Robert</t>
  </si>
  <si>
    <t>https://ebookcentral.proquest.com/lib/fudan-ebooks/detail.action?docID=5136872</t>
  </si>
  <si>
    <t>Concepts of Genetics: Pearson New International Edition</t>
  </si>
  <si>
    <t>Klug, William S.;Cummings, Michael R.;Spencer, Charlotte A.</t>
  </si>
  <si>
    <t>https://ebookcentral.proquest.com/lib/fudan-ebooks/detail.action?docID=5136873</t>
  </si>
  <si>
    <t>College Physics: Pearson New International Edition</t>
  </si>
  <si>
    <t>Knight, Randall D.;Jones, Brian;Field, Stuart</t>
  </si>
  <si>
    <t>https://ebookcentral.proquest.com/lib/fudan-ebooks/detail.action?docID=5136875</t>
  </si>
  <si>
    <t>Human Geography: Pearson New International Edition</t>
  </si>
  <si>
    <t>Knox, Paul L.;Marston, Sallie A</t>
  </si>
  <si>
    <t>https://ebookcentral.proquest.com/lib/fudan-ebooks/detail.action?docID=5136876</t>
  </si>
  <si>
    <t>Operations Management:Processes and Supply Chains: Global Edition</t>
  </si>
  <si>
    <t>Krajewski, Lee J.;Ritzman, Larry P.;Malhotra, Manoj K</t>
  </si>
  <si>
    <t>https://ebookcentral.proquest.com/lib/fudan-ebooks/detail.action?docID=5136879</t>
  </si>
  <si>
    <t>Experiencing MIS: Pearson New International Edition</t>
  </si>
  <si>
    <t>Kroenke, David M.</t>
  </si>
  <si>
    <t>https://ebookcentral.proquest.com/lib/fudan-ebooks/detail.action?docID=5136881</t>
  </si>
  <si>
    <t>Legal Environment of Business: Pearson New International Edition</t>
  </si>
  <si>
    <t>Kubasek, Nancy K.;Brennan, Bartley A;Browne, M. Neil</t>
  </si>
  <si>
    <t>https://ebookcentral.proquest.com/lib/fudan-ebooks/detail.action?docID=5136885</t>
  </si>
  <si>
    <t>Henderson's Dictionary of Biology</t>
  </si>
  <si>
    <t>Benjamin Cummings</t>
  </si>
  <si>
    <t>Lawrence, Eleanor</t>
  </si>
  <si>
    <t>Science: Biology/Natural History; Science</t>
  </si>
  <si>
    <t>https://ebookcentral.proquest.com/lib/fudan-ebooks/detail.action?docID=5136888</t>
  </si>
  <si>
    <t>History of Psychology: Pearson New International Edition</t>
  </si>
  <si>
    <t>Leahey, Thomas H.</t>
  </si>
  <si>
    <t>https://ebookcentral.proquest.com/lib/fudan-ebooks/detail.action?docID=5136889</t>
  </si>
  <si>
    <t>Linear Algebra with Applications: Pearson New International Edition</t>
  </si>
  <si>
    <t>Leon, Steve</t>
  </si>
  <si>
    <t>https://ebookcentral.proquest.com/lib/fudan-ebooks/detail.action?docID=5136892</t>
  </si>
  <si>
    <t>Writing Research Papers: Pearson New International Edition</t>
  </si>
  <si>
    <t>Lester, Jim D.;Lester, James D.</t>
  </si>
  <si>
    <t>https://ebookcentral.proquest.com/lib/fudan-ebooks/detail.action?docID=5136893</t>
  </si>
  <si>
    <t>Mathematics with Applications: Pearson New International Edition</t>
  </si>
  <si>
    <t>Lial, Margaret;Hungerford, Thomas W.;Holcomb, John P.</t>
  </si>
  <si>
    <t>https://ebookcentral.proquest.com/lib/fudan-ebooks/detail.action?docID=5136895</t>
  </si>
  <si>
    <t>Finite Mathematics with Applications: Pearson New International Edition</t>
  </si>
  <si>
    <t>https://ebookcentral.proquest.com/lib/fudan-ebooks/detail.action?docID=5136896</t>
  </si>
  <si>
    <t>Lilienfeld, Scott O;Lynn, Steven J;Namy, Laura L</t>
  </si>
  <si>
    <t>https://ebookcentral.proquest.com/lib/fudan-ebooks/detail.action?docID=5136900</t>
  </si>
  <si>
    <t>Mathematical Reasoning for Elementary School Teachers: Pearson New International Edition</t>
  </si>
  <si>
    <t>Long, Calvin T.;DeTemple, Duane W.;Millman, Richard S.</t>
  </si>
  <si>
    <t>https://ebookcentral.proquest.com/lib/fudan-ebooks/detail.action?docID=5136902</t>
  </si>
  <si>
    <t>Essentials of Geology: Pearson New International Edition</t>
  </si>
  <si>
    <t>Lutgens, Frederick K;Tarbuck, Edward J.;Tasa, Dennis G.</t>
  </si>
  <si>
    <t>https://ebookcentral.proquest.com/lib/fudan-ebooks/detail.action?docID=5136904</t>
  </si>
  <si>
    <t>World War II: Pearson New International Edition</t>
  </si>
  <si>
    <t>Lyons, Michael J.</t>
  </si>
  <si>
    <t>History</t>
  </si>
  <si>
    <t>https://ebookcentral.proquest.com/lib/fudan-ebooks/detail.action?docID=5136905</t>
  </si>
  <si>
    <t>Law Express Question and Answer: Company Law (Q&amp;A Revision Guide)</t>
  </si>
  <si>
    <t>Ma, Fang</t>
  </si>
  <si>
    <t>https://ebookcentral.proquest.com/lib/fudan-ebooks/detail.action?docID=5136906</t>
  </si>
  <si>
    <t>Sociology: Pearson New International Edition</t>
  </si>
  <si>
    <t>Macionis, John J</t>
  </si>
  <si>
    <t>https://ebookcentral.proquest.com/lib/fudan-ebooks/detail.action?docID=5136909</t>
  </si>
  <si>
    <t>Personality, Individual Differences and Intelligence</t>
  </si>
  <si>
    <t>Maltby, John;Day, Liz;Macaskill, Ann; Macaskill, Ann; Day, Liz</t>
  </si>
  <si>
    <t>https://ebookcentral.proquest.com/lib/fudan-ebooks/detail.action?docID=5136910</t>
  </si>
  <si>
    <t>Human Anatomy &amp; Physiology: Pearson New International Edition</t>
  </si>
  <si>
    <t>Marieb, Elaine N.;Hoehn, Katja</t>
  </si>
  <si>
    <t>https://ebookcentral.proquest.com/lib/fudan-ebooks/detail.action?docID=5136912</t>
  </si>
  <si>
    <t>Entrepreneurship: Pearson New International Edition</t>
  </si>
  <si>
    <t>Mariotti, Steve;Glackin, Caroline</t>
  </si>
  <si>
    <t>https://ebookcentral.proquest.com/lib/fudan-ebooks/detail.action?docID=5136913</t>
  </si>
  <si>
    <t>Behavior Modification: Pearson New International Edition</t>
  </si>
  <si>
    <t>Martin, Garry L.;Pear, Joseph; Pear, Joseph J.</t>
  </si>
  <si>
    <t>https://ebookcentral.proquest.com/lib/fudan-ebooks/detail.action?docID=5136914</t>
  </si>
  <si>
    <t>Fundamentals of Anatomy &amp; Physiology: Pearson New International Edition</t>
  </si>
  <si>
    <t>Martini, Frederic H.;Nath, Judi L.;Bartholomew, Edwin F.</t>
  </si>
  <si>
    <t>https://ebookcentral.proquest.com/lib/fudan-ebooks/detail.action?docID=5136916</t>
  </si>
  <si>
    <t>Visual Anatomy &amp; Physiology: Pearson New International Edition</t>
  </si>
  <si>
    <t>Martini, Frederic H.;Ober, William C.;Nath, Judi L.</t>
  </si>
  <si>
    <t>https://ebookcentral.proquest.com/lib/fudan-ebooks/detail.action?docID=5136917</t>
  </si>
  <si>
    <t>Strategic Compensation: Pearson New International Edition</t>
  </si>
  <si>
    <t>Martocchio, Joseph J.</t>
  </si>
  <si>
    <t>https://ebookcentral.proquest.com/lib/fudan-ebooks/detail.action?docID=5136918</t>
  </si>
  <si>
    <t>Learning &amp; Behavior: Pearson New International Edition</t>
  </si>
  <si>
    <t>Mazur, James E.</t>
  </si>
  <si>
    <t>https://ebookcentral.proquest.com/lib/fudan-ebooks/detail.action?docID=5136919</t>
  </si>
  <si>
    <t>Organization Theory : Challenges and Perspectives</t>
  </si>
  <si>
    <t>McAuley, John;Johnson, Philip;Duberley, Joanne; Duberley, Joanne; Johnson, Philip</t>
  </si>
  <si>
    <t>https://ebookcentral.proquest.com/lib/fudan-ebooks/detail.action?docID=5136920</t>
  </si>
  <si>
    <t>Letters to a Law Student : A guide to studying law at university</t>
  </si>
  <si>
    <t>McBride, Nicholas J</t>
  </si>
  <si>
    <t>https://ebookcentral.proquest.com/lib/fudan-ebooks/detail.action?docID=5136921</t>
  </si>
  <si>
    <t>Clinical Laboratory Hematology: Pearson New International Edition</t>
  </si>
  <si>
    <t>McKenzie, Shirlyn B.</t>
  </si>
  <si>
    <t>https://ebookcentral.proquest.com/lib/fudan-ebooks/detail.action?docID=5136924</t>
  </si>
  <si>
    <t>McMurry, John E.;Fay, Robert C.</t>
  </si>
  <si>
    <t>https://ebookcentral.proquest.com/lib/fudan-ebooks/detail.action?docID=5136927</t>
  </si>
  <si>
    <t>Financial Markets and Institutions: Global Edition</t>
  </si>
  <si>
    <t>Mishkin, Frederic S;Eakins, Stanley</t>
  </si>
  <si>
    <t>https://ebookcentral.proquest.com/lib/fudan-ebooks/detail.action?docID=5136932</t>
  </si>
  <si>
    <t>Law Express Question and Answer: Criminal Law (Q&amp;A Revision Guide)</t>
  </si>
  <si>
    <t>Monaghan, Nicola</t>
  </si>
  <si>
    <t>https://ebookcentral.proquest.com/lib/fudan-ebooks/detail.action?docID=5136935</t>
  </si>
  <si>
    <t>Advertising Principles &amp; Practices: Global Edition</t>
  </si>
  <si>
    <t>Moriarty, Sandra;Mitchell, Nancy;Wells, William</t>
  </si>
  <si>
    <t>https://ebookcentral.proquest.com/lib/fudan-ebooks/detail.action?docID=5136938</t>
  </si>
  <si>
    <t>Early Childhood Education Today: Pearson New International Edition</t>
  </si>
  <si>
    <t>Morrison, George S.</t>
  </si>
  <si>
    <t>https://ebookcentral.proquest.com/lib/fudan-ebooks/detail.action?docID=5136939</t>
  </si>
  <si>
    <t>Introduction to Health Psychology</t>
  </si>
  <si>
    <t>Morrison, Val;Bennett, Paul; Bennett, Paul</t>
  </si>
  <si>
    <t>https://ebookcentral.proquest.com/lib/fudan-ebooks/detail.action?docID=5136940</t>
  </si>
  <si>
    <t>History of Asia, A: Pearson New International Edition</t>
  </si>
  <si>
    <t>Murphey, Rhoads</t>
  </si>
  <si>
    <t>https://ebookcentral.proquest.com/lib/fudan-ebooks/detail.action?docID=5136945</t>
  </si>
  <si>
    <t>Contemporary Logistics: Pearson New International Edition</t>
  </si>
  <si>
    <t>Murphy Jr, Paul R;Wood, Donald Michael</t>
  </si>
  <si>
    <t>https://ebookcentral.proquest.com/lib/fudan-ebooks/detail.action?docID=5136946</t>
  </si>
  <si>
    <t>Inside Track to Writing Dissertations and Theses</t>
  </si>
  <si>
    <t>Murray, Neil;Beglar, David; Beglar, David</t>
  </si>
  <si>
    <t>Literature; Education</t>
  </si>
  <si>
    <t>https://ebookcentral.proquest.com/lib/fudan-ebooks/detail.action?docID=5136947</t>
  </si>
  <si>
    <t>Art and Science of Leadership, The: Pearson New International Edition</t>
  </si>
  <si>
    <t>Nahavandi, Afsaneh</t>
  </si>
  <si>
    <t>https://ebookcentral.proquest.com/lib/fudan-ebooks/detail.action?docID=5136949</t>
  </si>
  <si>
    <t>Issues in Aging: Pearson New International Edition</t>
  </si>
  <si>
    <t>Novak, Mark</t>
  </si>
  <si>
    <t>https://ebookcentral.proquest.com/lib/fudan-ebooks/detail.action?docID=5136952</t>
  </si>
  <si>
    <t>International Political Economy: Pearson New International Edition</t>
  </si>
  <si>
    <t>Oatley, Thomas</t>
  </si>
  <si>
    <t>https://ebookcentral.proquest.com/lib/fudan-ebooks/detail.action?docID=5136954</t>
  </si>
  <si>
    <t>Abnormal Psychology: Pearson New International Edition</t>
  </si>
  <si>
    <t>Oltmanns, Thomas F.;Emery, Robert E.</t>
  </si>
  <si>
    <t>https://ebookcentral.proquest.com/lib/fudan-ebooks/detail.action?docID=5136955</t>
  </si>
  <si>
    <t>Human Learning: Pearson New International Edition</t>
  </si>
  <si>
    <t>Ormrod, Jeanne Ellis</t>
  </si>
  <si>
    <t>https://ebookcentral.proquest.com/lib/fudan-ebooks/detail.action?docID=5136957</t>
  </si>
  <si>
    <t>Language Development: Pearson New International Edition</t>
  </si>
  <si>
    <t>Owens, Robert E.</t>
  </si>
  <si>
    <t>https://ebookcentral.proquest.com/lib/fudan-ebooks/detail.action?docID=5136958</t>
  </si>
  <si>
    <t>Introduction to Communication Disorders: Pearson New International Edition</t>
  </si>
  <si>
    <t>Owens, Robert E.;Metz, Dale Evan;Farinella, Kimberly A.</t>
  </si>
  <si>
    <t>https://ebookcentral.proquest.com/lib/fudan-ebooks/detail.action?docID=5136959</t>
  </si>
  <si>
    <t>Corporate Computer Security: Pearson New International Edition</t>
  </si>
  <si>
    <t>Panko, Raymond R.;Boyle, Randy J</t>
  </si>
  <si>
    <t>https://ebookcentral.proquest.com/lib/fudan-ebooks/detail.action?docID=5136961</t>
  </si>
  <si>
    <t>Contemporary Engineering Economics: Pearson New International Edition</t>
  </si>
  <si>
    <t>Park, Chan S.</t>
  </si>
  <si>
    <t>https://ebookcentral.proquest.com/lib/fudan-ebooks/detail.action?docID=5136963</t>
  </si>
  <si>
    <t>Microeconomics, Global Edition</t>
  </si>
  <si>
    <t>Parkin, Michael</t>
  </si>
  <si>
    <t>https://ebookcentral.proquest.com/lib/fudan-ebooks/detail.action?docID=5136965</t>
  </si>
  <si>
    <t>Macroeconomics, Global Edition</t>
  </si>
  <si>
    <t>https://ebookcentral.proquest.com/lib/fudan-ebooks/detail.action?docID=5136966</t>
  </si>
  <si>
    <t>Economics European Edition</t>
  </si>
  <si>
    <t>Parkin, Michael;Powell, Melanie;Matthews, Kent</t>
  </si>
  <si>
    <t>https://ebookcentral.proquest.com/lib/fudan-ebooks/detail.action?docID=5136967</t>
  </si>
  <si>
    <t>International Organizations: Pearson New International Edition</t>
  </si>
  <si>
    <t>Pease, Kelly-Kate S.</t>
  </si>
  <si>
    <t>https://ebookcentral.proquest.com/lib/fudan-ebooks/detail.action?docID=5136968</t>
  </si>
  <si>
    <t>Introduction to Agricultural Economics: Pearson New International Edition</t>
  </si>
  <si>
    <t>Penson, John B.;Capps, Oral T.;Rosson, C. Parr</t>
  </si>
  <si>
    <t>https://ebookcentral.proquest.com/lib/fudan-ebooks/detail.action?docID=5136969</t>
  </si>
  <si>
    <t>Contemporary Society: Pearson New International Edition</t>
  </si>
  <si>
    <t>Perry, John;Perry, Erna</t>
  </si>
  <si>
    <t>https://ebookcentral.proquest.com/lib/fudan-ebooks/detail.action?docID=5136971</t>
  </si>
  <si>
    <t>Strategic Staffing: Pearson New International Edition</t>
  </si>
  <si>
    <t>Phillips, Jean M;Gully, Stan</t>
  </si>
  <si>
    <t>https://ebookcentral.proquest.com/lib/fudan-ebooks/detail.action?docID=5136972</t>
  </si>
  <si>
    <t>Corporate Finance and Investment</t>
  </si>
  <si>
    <t>Pike, Richard;Neale, Bill;Linsley, Philip; Neale, Bill; Linsley, Philip</t>
  </si>
  <si>
    <t>https://ebookcentral.proquest.com/lib/fudan-ebooks/detail.action?docID=5136974</t>
  </si>
  <si>
    <t>Biopsychology: Pearson New International Edition</t>
  </si>
  <si>
    <t>Pinel, John P. J.</t>
  </si>
  <si>
    <t>https://ebookcentral.proquest.com/lib/fudan-ebooks/detail.action?docID=5136975</t>
  </si>
  <si>
    <t>Program Evaluation: Pearson New International Edition</t>
  </si>
  <si>
    <t>Posavac, Emil J.</t>
  </si>
  <si>
    <t>https://ebookcentral.proquest.com/lib/fudan-ebooks/detail.action?docID=5136976</t>
  </si>
  <si>
    <t>Classical Myth: Pearson New International Edition</t>
  </si>
  <si>
    <t>Powell, Barry B.</t>
  </si>
  <si>
    <t>https://ebookcentral.proquest.com/lib/fudan-ebooks/detail.action?docID=5136977</t>
  </si>
  <si>
    <t>Law for Journalists</t>
  </si>
  <si>
    <t>Quinn, Frances</t>
  </si>
  <si>
    <t>https://ebookcentral.proquest.com/lib/fudan-ebooks/detail.action?docID=5136981</t>
  </si>
  <si>
    <t>Campbell Biology: Pearson New International Edition</t>
  </si>
  <si>
    <t>Reece, Jane B.;Taylor, Martha R.;Simon, Eric J.</t>
  </si>
  <si>
    <t>https://ebookcentral.proquest.com/lib/fudan-ebooks/detail.action?docID=5136984</t>
  </si>
  <si>
    <t>Law of Contract</t>
  </si>
  <si>
    <t>Richards, Paul</t>
  </si>
  <si>
    <t>https://ebookcentral.proquest.com/lib/fudan-ebooks/detail.action?docID=5136989</t>
  </si>
  <si>
    <t>Supervision Today!: Pearson New International Edition</t>
  </si>
  <si>
    <t>Robbins, Stephen P;DeCenzo, David A.;Wolter, Robert M.</t>
  </si>
  <si>
    <t>https://ebookcentral.proquest.com/lib/fudan-ebooks/detail.action?docID=5136994</t>
  </si>
  <si>
    <t>Political Science: Pearson New International Edition</t>
  </si>
  <si>
    <t>Roskin, Michael G.;Cord, Robert L.;Medeiros, James A.</t>
  </si>
  <si>
    <t>https://ebookcentral.proquest.com/lib/fudan-ebooks/detail.action?docID=5136996</t>
  </si>
  <si>
    <t>Diversity Amid Globalization: Pearson New International Edition</t>
  </si>
  <si>
    <t>Rowntree, Lester;Lewis, Martin;Price, Marie</t>
  </si>
  <si>
    <t>https://ebookcentral.proquest.com/lib/fudan-ebooks/detail.action?docID=5136997</t>
  </si>
  <si>
    <t>Criminalistics: Pearson New International Edition</t>
  </si>
  <si>
    <t>Saferstein, Richard</t>
  </si>
  <si>
    <t>https://ebookcentral.proquest.com/lib/fudan-ebooks/detail.action?docID=5136998</t>
  </si>
  <si>
    <t>Statistics for the Life Sciences: Pearson New International Edition</t>
  </si>
  <si>
    <t>Samuels, Myra L.;Witmer, Jeffrey A.;Schaffner, Andrew</t>
  </si>
  <si>
    <t>https://ebookcentral.proquest.com/lib/fudan-ebooks/detail.action?docID=5136999</t>
  </si>
  <si>
    <t>Research Methods for Business Students</t>
  </si>
  <si>
    <t>Saunders, Mark N.K.;Lewis, Philip;Thornhill, Adrian; Lewis, Philip; Thornhill, Adrian</t>
  </si>
  <si>
    <t>https://ebookcentral.proquest.com/lib/fudan-ebooks/detail.action?docID=5137002</t>
  </si>
  <si>
    <t>Absolute Java: International Edition</t>
  </si>
  <si>
    <t>Savitch, Walter</t>
  </si>
  <si>
    <t>https://ebookcentral.proquest.com/lib/fudan-ebooks/detail.action?docID=5137003</t>
  </si>
  <si>
    <t>Absolute C++: International Edition</t>
  </si>
  <si>
    <t>https://ebookcentral.proquest.com/lib/fudan-ebooks/detail.action?docID=5137004</t>
  </si>
  <si>
    <t>Problem Solving with C++</t>
  </si>
  <si>
    <t>https://ebookcentral.proquest.com/lib/fudan-ebooks/detail.action?docID=5137005</t>
  </si>
  <si>
    <t>Racial and Ethnic Groups: Pearson New International Edition</t>
  </si>
  <si>
    <t>Schaefer, Richard T.</t>
  </si>
  <si>
    <t>https://ebookcentral.proquest.com/lib/fudan-ebooks/detail.action?docID=5137008</t>
  </si>
  <si>
    <t>Psychology and Work Today: Pearson New International Edition</t>
  </si>
  <si>
    <t>Schultz, Duane;Schultz, Sydney Ellen; Schultz, Sydney Ellen</t>
  </si>
  <si>
    <t>https://ebookcentral.proquest.com/lib/fudan-ebooks/detail.action?docID=5137009</t>
  </si>
  <si>
    <t>Organizations and Organizing: Pearson New International Edition</t>
  </si>
  <si>
    <t>Scott, W. Richard;Davis, Gerald F</t>
  </si>
  <si>
    <t>https://ebookcentral.proquest.com/lib/fudan-ebooks/detail.action?docID=5137010</t>
  </si>
  <si>
    <t>Workplace Communications: Pearson New International Edition</t>
  </si>
  <si>
    <t>Searles, George J.</t>
  </si>
  <si>
    <t>https://ebookcentral.proquest.com/lib/fudan-ebooks/detail.action?docID=5137011</t>
  </si>
  <si>
    <t>Concepts of Programming Languages: International Edition</t>
  </si>
  <si>
    <t>Sebesta, Robert W.</t>
  </si>
  <si>
    <t>https://ebookcentral.proquest.com/lib/fudan-ebooks/detail.action?docID=5137012</t>
  </si>
  <si>
    <t>Business Statistics: Pearson New International Edition</t>
  </si>
  <si>
    <t>Sharpe, Norean D.;De Veaux, Richard D.;Velleman, Paul</t>
  </si>
  <si>
    <t>https://ebookcentral.proquest.com/lib/fudan-ebooks/detail.action?docID=5137013</t>
  </si>
  <si>
    <t>Cross-Cultural Psychology: Pearson New International Edition</t>
  </si>
  <si>
    <t>Shiraev, Eric B.;Levy, David A.</t>
  </si>
  <si>
    <t>https://ebookcentral.proquest.com/lib/fudan-ebooks/detail.action?docID=5137015</t>
  </si>
  <si>
    <t>Human Physiology: Pearson New International Edition</t>
  </si>
  <si>
    <t>Silverthorn, Dee Unglaub</t>
  </si>
  <si>
    <t>Science; Science: Anatomy/Physiology</t>
  </si>
  <si>
    <t>https://ebookcentral.proquest.com/lib/fudan-ebooks/detail.action?docID=5137017</t>
  </si>
  <si>
    <t>Campbell Essential Biology 5th Edition: Pearson New International Edition</t>
  </si>
  <si>
    <t>Simon, Eric J.;Dickey, Jean L.;Reece, Jane B.</t>
  </si>
  <si>
    <t>https://ebookcentral.proquest.com/lib/fudan-ebooks/detail.action?docID=5137018</t>
  </si>
  <si>
    <t>Campbell Essential Biology with Physiology: Pearson New International Edition</t>
  </si>
  <si>
    <t>https://ebookcentral.proquest.com/lib/fudan-ebooks/detail.action?docID=5137019</t>
  </si>
  <si>
    <t>Economics</t>
  </si>
  <si>
    <t>Sloman, John;Wride, Alison;Garratt, Dean; Wride, Alison; Garratt, Dean</t>
  </si>
  <si>
    <t>https://ebookcentral.proquest.com/lib/fudan-ebooks/detail.action?docID=5137023</t>
  </si>
  <si>
    <t>Property Law : Cases and Materials</t>
  </si>
  <si>
    <t>https://ebookcentral.proquest.com/lib/fudan-ebooks/detail.action?docID=5137026</t>
  </si>
  <si>
    <t>Elements of Ecology: Pearson New International Edition</t>
  </si>
  <si>
    <t>Smith, Thomas M.;Smith, Robert Leo; Smith, Robert Leo</t>
  </si>
  <si>
    <t>https://ebookcentral.proquest.com/lib/fudan-ebooks/detail.action?docID=5137027</t>
  </si>
  <si>
    <t>Better Business: Pearson New International Edition</t>
  </si>
  <si>
    <t>Solomon, Michael R;Poatsy, Mary Anne;Martin, Kendall; Poatsy, MaryAnne; Martin, Kendall</t>
  </si>
  <si>
    <t>https://ebookcentral.proquest.com/lib/fudan-ebooks/detail.action?docID=5137030</t>
  </si>
  <si>
    <t>Strategic Management and Organisational Dynamics : the challenge of complexity</t>
  </si>
  <si>
    <t>Stacey, Ralph.D.</t>
  </si>
  <si>
    <t>https://ebookcentral.proquest.com/lib/fudan-ebooks/detail.action?docID=5137031</t>
  </si>
  <si>
    <t>Sullivan, Michael;Sullivan, Michael, III; Sullivan, Michael</t>
  </si>
  <si>
    <t>https://ebookcentral.proquest.com/lib/fudan-ebooks/detail.action?docID=5137040</t>
  </si>
  <si>
    <t>Modern Operating Systems: Pearson New International Edition</t>
  </si>
  <si>
    <t>Tanenbaum, Andrew S.</t>
  </si>
  <si>
    <t>https://ebookcentral.proquest.com/lib/fudan-ebooks/detail.action?docID=5137043</t>
  </si>
  <si>
    <t>Rules of Love : A personal code for happier, more fulfilling relationships</t>
  </si>
  <si>
    <t>Psychology; Social Science</t>
  </si>
  <si>
    <t>https://ebookcentral.proquest.com/lib/fudan-ebooks/detail.action?docID=5137048</t>
  </si>
  <si>
    <t>Rules of Wealth : A personal code for prosperity and plenty</t>
  </si>
  <si>
    <t>Economics; Business/Management</t>
  </si>
  <si>
    <t>https://ebookcentral.proquest.com/lib/fudan-ebooks/detail.action?docID=5137050</t>
  </si>
  <si>
    <t>Excellence in Business Communication: International Edition</t>
  </si>
  <si>
    <t>Thill, John V;Bovee, Courtland L</t>
  </si>
  <si>
    <t>https://ebookcentral.proquest.com/lib/fudan-ebooks/detail.action?docID=5137054</t>
  </si>
  <si>
    <t>Law Express Question and Answer: Constitutional and Administrative law</t>
  </si>
  <si>
    <t>Thirlaway, Victoria</t>
  </si>
  <si>
    <t>https://ebookcentral.proquest.com/lib/fudan-ebooks/detail.action?docID=5137056</t>
  </si>
  <si>
    <t>Environmental &amp; Natural Resources Economics: Pearson New International Edition</t>
  </si>
  <si>
    <t>Tietenberg, Tom;Lewis, Lynne</t>
  </si>
  <si>
    <t>https://ebookcentral.proquest.com/lib/fudan-ebooks/detail.action?docID=5137058</t>
  </si>
  <si>
    <t>Timberlake, Karen C</t>
  </si>
  <si>
    <t>https://ebookcentral.proquest.com/lib/fudan-ebooks/detail.action?docID=5137060</t>
  </si>
  <si>
    <t>General, Organic, and Biological Chemistry: Pearson New International Edition</t>
  </si>
  <si>
    <t>Timberlake, Karen C.</t>
  </si>
  <si>
    <t>https://ebookcentral.proquest.com/lib/fudan-ebooks/detail.action?docID=5137061</t>
  </si>
  <si>
    <t>Microbiology: Pearson New International Edition</t>
  </si>
  <si>
    <t>Tortora, Gerard J.;Funke, Berdell R.;Case, Christine L.</t>
  </si>
  <si>
    <t>https://ebookcentral.proquest.com/lib/fudan-ebooks/detail.action?docID=5137062</t>
  </si>
  <si>
    <t>Essentials of Statistics: Pearson New International Edition</t>
  </si>
  <si>
    <t>Triola, Mario F.</t>
  </si>
  <si>
    <t>https://ebookcentral.proquest.com/lib/fudan-ebooks/detail.action?docID=5137063</t>
  </si>
  <si>
    <t>Principles of Chemistry: Pearson New International Edition</t>
  </si>
  <si>
    <t>Tro, Nivaldo J.</t>
  </si>
  <si>
    <t>https://ebookcentral.proquest.com/lib/fudan-ebooks/detail.action?docID=5137065</t>
  </si>
  <si>
    <t>https://ebookcentral.proquest.com/lib/fudan-ebooks/detail.action?docID=5137066</t>
  </si>
  <si>
    <t>Decision Support and Business Intelligence Systems: Pearson New International Edition</t>
  </si>
  <si>
    <t>Turban, Efraim;Sharda, Ramesh E;Delen, Dursun</t>
  </si>
  <si>
    <t>https://ebookcentral.proquest.com/lib/fudan-ebooks/detail.action?docID=5137067</t>
  </si>
  <si>
    <t>Fundamentals of Applied Electromagnetics: Pearson New International Edition</t>
  </si>
  <si>
    <t>Ulaby, Fawwaz T.;Michielssen, Eric;Ravaioli, Umberto</t>
  </si>
  <si>
    <t>https://ebookcentral.proquest.com/lib/fudan-ebooks/detail.action?docID=5137069</t>
  </si>
  <si>
    <t>Essentials of Systems Analysis and Design: Pearson New International Edition</t>
  </si>
  <si>
    <t>Valacich, Joseph;George, Joey;Hoffer, Jeffrey A.</t>
  </si>
  <si>
    <t>https://ebookcentral.proquest.com/lib/fudan-ebooks/detail.action?docID=5137070</t>
  </si>
  <si>
    <t>Elementary and Middle School Mathematics: Pearson New International Edition</t>
  </si>
  <si>
    <t>Van de Walle, John A.;Karp, Karen S.;Bay-Williams, Jennifer M.; Karp, Karen S.; Bay-Williams, Jennifer M.</t>
  </si>
  <si>
    <t>Mathematics; Education</t>
  </si>
  <si>
    <t>https://ebookcentral.proquest.com/lib/fudan-ebooks/detail.action?docID=5137071</t>
  </si>
  <si>
    <t>Wade, Leroy G.</t>
  </si>
  <si>
    <t>https://ebookcentral.proquest.com/lib/fudan-ebooks/detail.action?docID=5137073</t>
  </si>
  <si>
    <t>Corporate Finance Principles and Practice</t>
  </si>
  <si>
    <t>Watson, Denzil;Head, Antony; Head, Antony</t>
  </si>
  <si>
    <t>https://ebookcentral.proquest.com/lib/fudan-ebooks/detail.action?docID=5137080</t>
  </si>
  <si>
    <t>Corporate Finance, 6th edition : Principles and Practice</t>
  </si>
  <si>
    <t>https://ebookcentral.proquest.com/lib/fudan-ebooks/detail.action?docID=5137081</t>
  </si>
  <si>
    <t>Policy Analysis: Pearson New International Edition</t>
  </si>
  <si>
    <t>Weimer, David;Vining, Aidan R.</t>
  </si>
  <si>
    <t>https://ebookcentral.proquest.com/lib/fudan-ebooks/detail.action?docID=5137087</t>
  </si>
  <si>
    <t>Practical Skills in Biology</t>
  </si>
  <si>
    <t>Weyers, Jonathan;Reed, Rob;Jones, Allan; Reed, Rob; Jones, Allan</t>
  </si>
  <si>
    <t>https://ebookcentral.proquest.com/lib/fudan-ebooks/detail.action?docID=5137088</t>
  </si>
  <si>
    <t>Practical Skills in Biomolecular Sciences</t>
  </si>
  <si>
    <t>Weyers, Jonathan;Reed, Rob;Jones, Allan; Reed, Rob; Jones, Allan; Holmes, David A.</t>
  </si>
  <si>
    <t>Science; Science: Biology/Natural History</t>
  </si>
  <si>
    <t>https://ebookcentral.proquest.com/lib/fudan-ebooks/detail.action?docID=5137089</t>
  </si>
  <si>
    <t>Abnormal Child and Adolescent Psychology: Pearson New International Edition</t>
  </si>
  <si>
    <t>Wicks-Nelson, Rita `;Israel, Allen C.</t>
  </si>
  <si>
    <t>https://ebookcentral.proquest.com/lib/fudan-ebooks/detail.action?docID=5137091</t>
  </si>
  <si>
    <t>Public Relations: Pearson New International Edition</t>
  </si>
  <si>
    <t>Wilcox, Dennis L.;Cameron, Glen T.</t>
  </si>
  <si>
    <t>https://ebookcentral.proquest.com/lib/fudan-ebooks/detail.action?docID=5137092</t>
  </si>
  <si>
    <t>Smith and Keenan's Company Law</t>
  </si>
  <si>
    <t>Wild, Charles;Weinstein, Stuart; Weinstein, Stuart</t>
  </si>
  <si>
    <t>https://ebookcentral.proquest.com/lib/fudan-ebooks/detail.action?docID=5137094</t>
  </si>
  <si>
    <t>Law Express Question and Answer: English Legal System 2nd edn</t>
  </si>
  <si>
    <t>Wilson, Gary</t>
  </si>
  <si>
    <t>https://ebookcentral.proquest.com/lib/fudan-ebooks/detail.action?docID=5137096</t>
  </si>
  <si>
    <t>Environment: Pearson New International Edition</t>
  </si>
  <si>
    <t>Withgott, Jay H.;Brennan, Scott R.</t>
  </si>
  <si>
    <t>https://ebookcentral.proquest.com/lib/fudan-ebooks/detail.action?docID=5137097</t>
  </si>
  <si>
    <t>Essential University Physics: Pearson New International Edition</t>
  </si>
  <si>
    <t>Wolfson, Richard</t>
  </si>
  <si>
    <t>https://ebookcentral.proquest.com/lib/fudan-ebooks/detail.action?docID=5137098</t>
  </si>
  <si>
    <t>https://ebookcentral.proquest.com/lib/fudan-ebooks/detail.action?docID=5137099</t>
  </si>
  <si>
    <t>Woolfolk, Anita</t>
  </si>
  <si>
    <t>https://ebookcentral.proquest.com/lib/fudan-ebooks/detail.action?docID=5137101</t>
  </si>
  <si>
    <t>Stuttering: Pearson New International Edition</t>
  </si>
  <si>
    <t>Yairi, Ehud H.;Seery, Carol H.</t>
  </si>
  <si>
    <t>https://ebookcentral.proquest.com/lib/fudan-ebooks/detail.action?docID=5137103</t>
  </si>
  <si>
    <t>Young, Hugh D.</t>
  </si>
  <si>
    <t>https://ebookcentral.proquest.com/lib/fudan-ebooks/detail.action?docID=5137104</t>
  </si>
  <si>
    <t>Strategic Brand Management</t>
  </si>
  <si>
    <t>Keller, Kevin Lane;Aperia, Tony;Georgson, Mats; Aperia, Tony; Georgson, Mats</t>
  </si>
  <si>
    <t>https://ebookcentral.proquest.com/lib/fudan-ebooks/detail.action?docID=5137106</t>
  </si>
  <si>
    <t>Essentials of Marketing Research</t>
  </si>
  <si>
    <t>Malhotra, Naresh K;Birks, David F.;Wills, Peter A.; Birks, David F.; Wills, Peter A.</t>
  </si>
  <si>
    <t>https://ebookcentral.proquest.com/lib/fudan-ebooks/detail.action?docID=5137109</t>
  </si>
  <si>
    <t>Brilliant Negotiations 2e : What the best Negotiators Know, Do and Say</t>
  </si>
  <si>
    <t>https://ebookcentral.proquest.com/lib/fudan-ebooks/detail.action?docID=5137117</t>
  </si>
  <si>
    <t>Management Communication: Financial Times Briefing</t>
  </si>
  <si>
    <t>Adler, Gordon</t>
  </si>
  <si>
    <t>https://ebookcentral.proquest.com/lib/fudan-ebooks/detail.action?docID=5137135</t>
  </si>
  <si>
    <t>Change Your Life with NLP 2e : The Powerful Way to Make Your Whole Life Better</t>
  </si>
  <si>
    <t>Agness, Lindsey</t>
  </si>
  <si>
    <t>https://ebookcentral.proquest.com/lib/fudan-ebooks/detail.action?docID=5137136</t>
  </si>
  <si>
    <t>Statistical Methods for the Social Sciences: Pearson New International Edition</t>
  </si>
  <si>
    <t>Agresti, Alan;Finlay, Barbara; Finlay, Barbara</t>
  </si>
  <si>
    <t>https://ebookcentral.proquest.com/lib/fudan-ebooks/detail.action?docID=5137137</t>
  </si>
  <si>
    <t>Statistics: Pearson New International Edition</t>
  </si>
  <si>
    <t>Agresti, Alan;Franklin, Christine; Franklin, Christine</t>
  </si>
  <si>
    <t>https://ebookcentral.proquest.com/lib/fudan-ebooks/detail.action?docID=5137138</t>
  </si>
  <si>
    <t>Leadership Book</t>
  </si>
  <si>
    <t>Anderson, Mark</t>
  </si>
  <si>
    <t>https://ebookcentral.proquest.com/lib/fudan-ebooks/detail.action?docID=5137156</t>
  </si>
  <si>
    <t>Intermediate Algebra for College Students: Pearson New International Edition</t>
  </si>
  <si>
    <t>Angel, Allen R.;Runde, Dennis; Runde, Dennis C.</t>
  </si>
  <si>
    <t>https://ebookcentral.proquest.com/lib/fudan-ebooks/detail.action?docID=5137160</t>
  </si>
  <si>
    <t>Longman Handbook for Writers and Readers: Pearson New International Edition</t>
  </si>
  <si>
    <t>Anson, Chris M.;Schwegler, Robert A.; Schwegler, Robert A.</t>
  </si>
  <si>
    <t>Literature</t>
  </si>
  <si>
    <t>https://ebookcentral.proquest.com/lib/fudan-ebooks/detail.action?docID=5137162</t>
  </si>
  <si>
    <t>Adolescence and Emerging Adulthood: Pearson New International Edition</t>
  </si>
  <si>
    <t>Arnett, Jeffrey J.</t>
  </si>
  <si>
    <t>https://ebookcentral.proquest.com/lib/fudan-ebooks/detail.action?docID=5137178</t>
  </si>
  <si>
    <t>Human Development: Pearson New International Edition</t>
  </si>
  <si>
    <t>https://ebookcentral.proquest.com/lib/fudan-ebooks/detail.action?docID=5137179</t>
  </si>
  <si>
    <t>Great Investors : Lessons on Investing from Master Traders</t>
  </si>
  <si>
    <t>Arnold, Glen</t>
  </si>
  <si>
    <t>https://ebookcentral.proquest.com/lib/fudan-ebooks/detail.action?docID=5137182</t>
  </si>
  <si>
    <t>Statistics for Psychology: Pearson New International Edition</t>
  </si>
  <si>
    <t>Aron, Arthur;Aron, Elaine N.;Coups, Elliot; Aron, Elaine N.; Coups, Elliot; Cole Publishing</t>
  </si>
  <si>
    <t>https://ebookcentral.proquest.com/lib/fudan-ebooks/detail.action?docID=5137190</t>
  </si>
  <si>
    <t>Statistics for The Behavioral and Social Sciences: Pearson New International Edition</t>
  </si>
  <si>
    <t>Aron, Arthur;Coups, Elliot;Aron, Elaine N.; Coups, Elliot; Aron, Elaine N.</t>
  </si>
  <si>
    <t>https://ebookcentral.proquest.com/lib/fudan-ebooks/detail.action?docID=5137191</t>
  </si>
  <si>
    <t>Social Psychology: Pearson New International Edition</t>
  </si>
  <si>
    <t>Aronson, Elliot;Wilson, Timothy D.;Akert, Robin M.; Wilson, Timothy D.; Akert, Robin M.</t>
  </si>
  <si>
    <t>https://ebookcentral.proquest.com/lib/fudan-ebooks/detail.action?docID=5137193</t>
  </si>
  <si>
    <t>Algebra: Pearson New International Edition</t>
  </si>
  <si>
    <t>Artin, Michael</t>
  </si>
  <si>
    <t>https://ebookcentral.proquest.com/lib/fudan-ebooks/detail.action?docID=5137195</t>
  </si>
  <si>
    <t>Cognition: Pearson New International Edition</t>
  </si>
  <si>
    <t>Ashcraft, Mark H.;Radvansky, Gabriel A.; Radvansky, Gabriel A.</t>
  </si>
  <si>
    <t>https://ebookcentral.proquest.com/lib/fudan-ebooks/detail.action?docID=5137196</t>
  </si>
  <si>
    <t>Brilliant Checklists for Entrepreneurs : Your Shortcut to Success</t>
  </si>
  <si>
    <t>Ashton, Robert</t>
  </si>
  <si>
    <t>https://ebookcentral.proquest.com/lib/fudan-ebooks/detail.action?docID=5137199</t>
  </si>
  <si>
    <t>Practical Skills in Food Science, Nutrition and Dietetics</t>
  </si>
  <si>
    <t>Aspden, William;Caple, Fiona;Reed, Rob; Caple, Fiona; Reed, Rob; Weyers, Jonathan; Jones, Allan</t>
  </si>
  <si>
    <t>Engineering: Chemical; Engineering</t>
  </si>
  <si>
    <t>https://ebookcentral.proquest.com/lib/fudan-ebooks/detail.action?docID=5137201</t>
  </si>
  <si>
    <t>Audesirk, Gerald;Audesirk, Teresa;Byers, Bruce E.</t>
  </si>
  <si>
    <t>https://ebookcentral.proquest.com/lib/fudan-ebooks/detail.action?docID=5137210</t>
  </si>
  <si>
    <t>THINK Psychology: Pearson New International Edition</t>
  </si>
  <si>
    <t>Baird, Abigail A.</t>
  </si>
  <si>
    <t>https://ebookcentral.proquest.com/lib/fudan-ebooks/detail.action?docID=5137223</t>
  </si>
  <si>
    <t>Discrete-Event System Simulation: Pearson New International Edition</t>
  </si>
  <si>
    <t>Banks, Jerry;Carson, John S.;Nelson, Barry L.; Carson, John S., II; Nelson, Barry L.; Nicol, David M.</t>
  </si>
  <si>
    <t>https://ebookcentral.proquest.com/lib/fudan-ebooks/detail.action?docID=5137236</t>
  </si>
  <si>
    <t>Genius! : Deceptively simple ways to become instantly smarter</t>
  </si>
  <si>
    <t>Bannerman, James</t>
  </si>
  <si>
    <t>https://ebookcentral.proquest.com/lib/fudan-ebooks/detail.action?docID=5137237</t>
  </si>
  <si>
    <t>Criminology: Pearson New International Edition</t>
  </si>
  <si>
    <t>Barkan, Steve E.</t>
  </si>
  <si>
    <t>https://ebookcentral.proquest.com/lib/fudan-ebooks/detail.action?docID=5137240</t>
  </si>
  <si>
    <t>Mechanics of Flight</t>
  </si>
  <si>
    <t>Barnard, R.H.;Philpott, D.R.;Kermode, A.C.; Philpott, D. R.; Kermode, A. C.</t>
  </si>
  <si>
    <t>Engineering: Mechanical; Engineering; Engineering: General</t>
  </si>
  <si>
    <t>https://ebookcentral.proquest.com/lib/fudan-ebooks/detail.action?docID=5137245</t>
  </si>
  <si>
    <t>Short Guide to writing about Literature:Pearson New International Edition</t>
  </si>
  <si>
    <t>Barnet, Sylvan;Cain, William E.; Cain, William E.</t>
  </si>
  <si>
    <t>https://ebookcentral.proquest.com/lib/fudan-ebooks/detail.action?docID=5137247</t>
  </si>
  <si>
    <t>Gaining and Sustaining Competitive Advantage: Pearson New International Edition</t>
  </si>
  <si>
    <t>Barney, Jay</t>
  </si>
  <si>
    <t>https://ebookcentral.proquest.com/lib/fudan-ebooks/detail.action?docID=5137251</t>
  </si>
  <si>
    <t>Baron, Robert A;Branscombe, Nyla R.</t>
  </si>
  <si>
    <t>https://ebookcentral.proquest.com/lib/fudan-ebooks/detail.action?docID=5137254</t>
  </si>
  <si>
    <t>Statistics for Economics, Accounting and Business Studies</t>
  </si>
  <si>
    <t>Barrow, Michael</t>
  </si>
  <si>
    <t>Mathematics; Business/Management</t>
  </si>
  <si>
    <t>https://ebookcentral.proquest.com/lib/fudan-ebooks/detail.action?docID=5137259</t>
  </si>
  <si>
    <t>Criminal Behavior: Pearson New International Edition</t>
  </si>
  <si>
    <t>Bartol, Curt R.;Bartol, Anne M.</t>
  </si>
  <si>
    <t>https://ebookcentral.proquest.com/lib/fudan-ebooks/detail.action?docID=5137260</t>
  </si>
  <si>
    <t>Microbiology with Diseases by Taxonomy: Pearson New International Edition</t>
  </si>
  <si>
    <t>https://ebookcentral.proquest.com/lib/fudan-ebooks/detail.action?docID=5137263</t>
  </si>
  <si>
    <t>Articulatory and Phonological Impairments: Pearson New International Edition</t>
  </si>
  <si>
    <t>Bauman-Waengler, Jacqueline</t>
  </si>
  <si>
    <t>https://ebookcentral.proquest.com/lib/fudan-ebooks/detail.action?docID=5137266</t>
  </si>
  <si>
    <t>Words Their Way Letter and Picture Sorts for Emergent Spellers: Pearson New International Edition</t>
  </si>
  <si>
    <t>Bear, Donald R.;Invernizzi, Marcia R.;Johnston, Francine R.</t>
  </si>
  <si>
    <t>https://ebookcentral.proquest.com/lib/fudan-ebooks/detail.action?docID=5137271</t>
  </si>
  <si>
    <t>Understanding 12-Lead EKGs: Pearson New International Edition</t>
  </si>
  <si>
    <t>Beasley, Brenda M.;West, Michael C.; West, Michael C.</t>
  </si>
  <si>
    <t>https://ebookcentral.proquest.com/lib/fudan-ebooks/detail.action?docID=5137275</t>
  </si>
  <si>
    <t>Family Therapy: Pearson New International Edition</t>
  </si>
  <si>
    <t>Becvar, Dorothy Stroh;Becvar, Raphael J.; Becvar, Raphael J.</t>
  </si>
  <si>
    <t>https://ebookcentral.proquest.com/lib/fudan-ebooks/detail.action?docID=5137277</t>
  </si>
  <si>
    <t>Hydrology and Floodplain Analysis: International Edition</t>
  </si>
  <si>
    <t>Bedient, Philip B.;Huber, Wayne C.;Vieux, Baxter E.</t>
  </si>
  <si>
    <t>https://ebookcentral.proquest.com/lib/fudan-ebooks/detail.action?docID=5137278</t>
  </si>
  <si>
    <t>Developing Child, The: Pearson New International Edition</t>
  </si>
  <si>
    <t>Bee, Helen;Boyd, Denise; Boyd, Denise G.</t>
  </si>
  <si>
    <t>https://ebookcentral.proquest.com/lib/fudan-ebooks/detail.action?docID=5137279</t>
  </si>
  <si>
    <t>Public Speaking: Pearson New International Edition</t>
  </si>
  <si>
    <t>Beebe, Steven A.;Beebe, Susan J.</t>
  </si>
  <si>
    <t>https://ebookcentral.proquest.com/lib/fudan-ebooks/detail.action?docID=5137280</t>
  </si>
  <si>
    <t>Interpersonal Communication: Pearson New International Edition</t>
  </si>
  <si>
    <t>Beebe, Steven A.;Beebe, Susan J.;Redmond, Mark V.; Beebe, Susan J.; Redmond, Mark V.</t>
  </si>
  <si>
    <t>https://ebookcentral.proquest.com/lib/fudan-ebooks/detail.action?docID=5137283</t>
  </si>
  <si>
    <t>Algebra and Trigonometry: Pearson New International Edition</t>
  </si>
  <si>
    <t>Beecher, Judith A.;Penna, Judith A.;Bittinger, Marvin L.; Penna, Judith A.; Bittinger, Marvin L.</t>
  </si>
  <si>
    <t>https://ebookcentral.proquest.com/lib/fudan-ebooks/detail.action?docID=5137289</t>
  </si>
  <si>
    <t>Beecher, Judith A;Penna, Judith A;Bittinger, Marvin L</t>
  </si>
  <si>
    <t>https://ebookcentral.proquest.com/lib/fudan-ebooks/detail.action?docID=5137290</t>
  </si>
  <si>
    <t>College Algebra: Pearson New International Edition</t>
  </si>
  <si>
    <t>Beecher, Judith A;Penna, Judith A;Bittinger, Marvin L.; Penna, Judith A.; Bittinger, Marvin L.</t>
  </si>
  <si>
    <t>https://ebookcentral.proquest.com/lib/fudan-ebooks/detail.action?docID=5137291</t>
  </si>
  <si>
    <t>Forensic Chemistry: Pearson New International Edition</t>
  </si>
  <si>
    <t>Bell, Suzanne</t>
  </si>
  <si>
    <t>https://ebookcentral.proquest.com/lib/fudan-ebooks/detail.action?docID=5137302</t>
  </si>
  <si>
    <t>Arts and Culture: Pearson New International Edition</t>
  </si>
  <si>
    <t>Benton, Janetta Rebold;DiYanni, Robert; Benton, Janetta Rebold</t>
  </si>
  <si>
    <t>Fine Arts</t>
  </si>
  <si>
    <t>https://ebookcentral.proquest.com/lib/fudan-ebooks/detail.action?docID=5137311</t>
  </si>
  <si>
    <t>Qualitative Research Methods for the Social Sciences: Pearson New International Edition</t>
  </si>
  <si>
    <t>Berg, Bruce L.;Lune, Howard; Lune, Howard</t>
  </si>
  <si>
    <t>https://ebookcentral.proquest.com/lib/fudan-ebooks/detail.action?docID=5137314</t>
  </si>
  <si>
    <t>Parents as Partners in Education: Pearson New International Edition</t>
  </si>
  <si>
    <t>Berger, Eugenia Hepworth;Riojas-Cortez, Mari R.; Riojas-Cortez, Mari R.</t>
  </si>
  <si>
    <t>https://ebookcentral.proquest.com/lib/fudan-ebooks/detail.action?docID=5137315</t>
  </si>
  <si>
    <t>Corporate Finance, Global Edition</t>
  </si>
  <si>
    <t>Berk, Jonathan;DeMarzo, Peter</t>
  </si>
  <si>
    <t>https://ebookcentral.proquest.com/lib/fudan-ebooks/detail.action?docID=5137318</t>
  </si>
  <si>
    <t>Retail Management: International Edition</t>
  </si>
  <si>
    <t>Berman, Barry R;Evans, Joel R</t>
  </si>
  <si>
    <t>https://ebookcentral.proquest.com/lib/fudan-ebooks/detail.action?docID=5137323</t>
  </si>
  <si>
    <t>Fundamentals of Clinical Supervision: Pearson New International Edition</t>
  </si>
  <si>
    <t>Bernard, Janine M.;Goodyear, Rodney K.; Goodyear, Rodney K.</t>
  </si>
  <si>
    <t>Social Science; Health</t>
  </si>
  <si>
    <t>https://ebookcentral.proquest.com/lib/fudan-ebooks/detail.action?docID=5137325</t>
  </si>
  <si>
    <t>Research in Education: Pearson New International Edition</t>
  </si>
  <si>
    <t>Best, John W.;Kahn, James V.; Kahn, James V.</t>
  </si>
  <si>
    <t>https://ebookcentral.proquest.com/lib/fudan-ebooks/detail.action?docID=5137327</t>
  </si>
  <si>
    <t>Introduction to Management Accounting</t>
  </si>
  <si>
    <t>Bhimani, Alnoor;Horngren, Charles T.;Sundem, Gary L.; Horngren, Charles T.; Sundem, Gary L.; Stratton, William O.; Schatzberg, Jeff O.; Burgstahler, Dave</t>
  </si>
  <si>
    <t>https://ebookcentral.proquest.com/lib/fudan-ebooks/detail.action?docID=5137332</t>
  </si>
  <si>
    <t>Problem Solving Approach to Mathematics for Elementary School Teachers, A: Pearson New International Edition</t>
  </si>
  <si>
    <t>Billstein, Rick;Libeskind, Shlomo;Lott, Johnny W.; Libeskind, Shlomo; Lott, Johnny W.</t>
  </si>
  <si>
    <t>https://ebookcentral.proquest.com/lib/fudan-ebooks/detail.action?docID=5137333</t>
  </si>
  <si>
    <t>Developmental Mathematics: Pearson New International Edition</t>
  </si>
  <si>
    <t>Bittinger, Marvin L.;Beecher, Judith A; Beecher, Judith A.</t>
  </si>
  <si>
    <t>https://ebookcentral.proquest.com/lib/fudan-ebooks/detail.action?docID=5137339</t>
  </si>
  <si>
    <t>Journey of Adulthood: Pearson New International Edition</t>
  </si>
  <si>
    <t>Bjorklund, Barbara R.</t>
  </si>
  <si>
    <t>https://ebookcentral.proquest.com/lib/fudan-ebooks/detail.action?docID=5137341</t>
  </si>
  <si>
    <t>Logistics Engineering &amp; Management: Pearson New International Edition</t>
  </si>
  <si>
    <t>Blanchard, Benjamin S.</t>
  </si>
  <si>
    <t>https://ebookcentral.proquest.com/lib/fudan-ebooks/detail.action?docID=5137346</t>
  </si>
  <si>
    <t>Systems Engineering and Analysis: Pearson New International Edition</t>
  </si>
  <si>
    <t>Blanchard, Benjamin S;Fabrycky, Wolter J; Fabrycky, Wolter J.</t>
  </si>
  <si>
    <t>Engineering: General; Engineering</t>
  </si>
  <si>
    <t>https://ebookcentral.proquest.com/lib/fudan-ebooks/detail.action?docID=5137347</t>
  </si>
  <si>
    <t>Thinking Mathematically: Pearson New International Edition</t>
  </si>
  <si>
    <t>Blitzer, Robert F</t>
  </si>
  <si>
    <t>https://ebookcentral.proquest.com/lib/fudan-ebooks/detail.action?docID=5137361</t>
  </si>
  <si>
    <t>https://ebookcentral.proquest.com/lib/fudan-ebooks/detail.action?docID=5137362</t>
  </si>
  <si>
    <t>Blitzer, Robert F.</t>
  </si>
  <si>
    <t>https://ebookcentral.proquest.com/lib/fudan-ebooks/detail.action?docID=5137363</t>
  </si>
  <si>
    <t>Student Solutions Manual for Thinking Mathematically: Pearson New International Edition</t>
  </si>
  <si>
    <t>https://ebookcentral.proquest.com/lib/fudan-ebooks/detail.action?docID=5137364</t>
  </si>
  <si>
    <t>https://ebookcentral.proquest.com/lib/fudan-ebooks/detail.action?docID=5137365</t>
  </si>
  <si>
    <t>Evaluating Practice: Pearson New International Edition</t>
  </si>
  <si>
    <t>Bloom, Martin;Fischer, Joel;Orme, John G.; Fischer, Joel; Orme, John G.</t>
  </si>
  <si>
    <t>https://ebookcentral.proquest.com/lib/fudan-ebooks/detail.action?docID=5137367</t>
  </si>
  <si>
    <t>Ethics and the Conduct of Business: Pearson New International Edition</t>
  </si>
  <si>
    <t>Boatright, John R.</t>
  </si>
  <si>
    <t>https://ebookcentral.proquest.com/lib/fudan-ebooks/detail.action?docID=5137374</t>
  </si>
  <si>
    <t>Principles of Sedimentology and Stratigraphy: Pearson New International Edition</t>
  </si>
  <si>
    <t>Boggs, Sam</t>
  </si>
  <si>
    <t>Science: Geology; Science</t>
  </si>
  <si>
    <t>https://ebookcentral.proquest.com/lib/fudan-ebooks/detail.action?docID=5137381</t>
  </si>
  <si>
    <t>Body Language 3rd edn : How to know what's REALLY being said</t>
  </si>
  <si>
    <t>Borg, James</t>
  </si>
  <si>
    <t>https://ebookcentral.proquest.com/lib/fudan-ebooks/detail.action?docID=5137387</t>
  </si>
  <si>
    <t>Music Fundamentals, Methods, and Materials for the Elementary Classroom Teacher: Pearson New International Edition</t>
  </si>
  <si>
    <t>Boyer, Rene;Rozmajzl, Michon; Rozmajzl, Michon</t>
  </si>
  <si>
    <t>https://ebookcentral.proquest.com/lib/fudan-ebooks/detail.action?docID=5137395</t>
  </si>
  <si>
    <t>Direct Practice in Social Work: Pearson New International Edition</t>
  </si>
  <si>
    <t>Boyle, Scott W.;Smith, Larry L.;Farley, O. William; Smith, Larry Lorenzo; Farley, O. William; Hull, Grafton H.; Hurn-Mather, Jannah</t>
  </si>
  <si>
    <t>https://ebookcentral.proquest.com/lib/fudan-ebooks/detail.action?docID=5137397</t>
  </si>
  <si>
    <t>Nature and Properties of Soils, The: Pearson New International Edition</t>
  </si>
  <si>
    <t>Brady, Nyle C.;Weil, Raymond; Brady, Nyle C.</t>
  </si>
  <si>
    <t>Agriculture</t>
  </si>
  <si>
    <t>https://ebookcentral.proquest.com/lib/fudan-ebooks/detail.action?docID=5137402</t>
  </si>
  <si>
    <t>Elements of the Nature and Properties of Soils: Pearson New International Edition</t>
  </si>
  <si>
    <t>Brady, Nyle C.;Weil, Raymond R.; Brady, Nyle C.</t>
  </si>
  <si>
    <t>https://ebookcentral.proquest.com/lib/fudan-ebooks/detail.action?docID=5137403</t>
  </si>
  <si>
    <t>Teaching Secondary and Middle School Mathematics: Pearson New International Edition</t>
  </si>
  <si>
    <t>Brahier, Daniel J.</t>
  </si>
  <si>
    <t>https://ebookcentral.proquest.com/lib/fudan-ebooks/detail.action?docID=5137404</t>
  </si>
  <si>
    <t>Essentials of Accounting:International Edition</t>
  </si>
  <si>
    <t>Breitner, Leslie K.;Anthony, Robert N.</t>
  </si>
  <si>
    <t>https://ebookcentral.proquest.com/lib/fudan-ebooks/detail.action?docID=5137409</t>
  </si>
  <si>
    <t>History and Systems of Psychology: Pearson New International Edition</t>
  </si>
  <si>
    <t>Brennan, James F.</t>
  </si>
  <si>
    <t>https://ebookcentral.proquest.com/lib/fudan-ebooks/detail.action?docID=5137410</t>
  </si>
  <si>
    <t>Bretscher, Otto</t>
  </si>
  <si>
    <t>https://ebookcentral.proquest.com/lib/fudan-ebooks/detail.action?docID=5137411</t>
  </si>
  <si>
    <t>Introduction to Early Childhood Education: Pearson New International Edition</t>
  </si>
  <si>
    <t>Brewer, Jo Ann</t>
  </si>
  <si>
    <t>https://ebookcentral.proquest.com/lib/fudan-ebooks/detail.action?docID=5137412</t>
  </si>
  <si>
    <t>Calculus for Scientists and Engineers: Pearson New International Edition</t>
  </si>
  <si>
    <t>Briggs, William L.;Cochran, Lyle;Gillett, Bernard</t>
  </si>
  <si>
    <t>https://ebookcentral.proquest.com/lib/fudan-ebooks/detail.action?docID=5137417</t>
  </si>
  <si>
    <t>Financing Education in a Climate of Change: Pearson New International Edition</t>
  </si>
  <si>
    <t>Brimley, Vern;Verstegen, Deborah A.;Garfield, Rulon R.</t>
  </si>
  <si>
    <t>https://ebookcentral.proquest.com/lib/fudan-ebooks/detail.action?docID=5137419</t>
  </si>
  <si>
    <t>Financial Accounting</t>
  </si>
  <si>
    <t>Britton, Anne;Waterston, Chris; Waterston, Christopher</t>
  </si>
  <si>
    <t>https://ebookcentral.proquest.com/lib/fudan-ebooks/detail.action?docID=5137420</t>
  </si>
  <si>
    <t>History of the Theatre: Pearson New International Edition</t>
  </si>
  <si>
    <t>Brockett, Oscar G.;Hildy, Franklin J.; Hildy, Franklin J.</t>
  </si>
  <si>
    <t>https://ebookcentral.proquest.com/lib/fudan-ebooks/detail.action?docID=5137421</t>
  </si>
  <si>
    <t>Life Span, The: Pearson New International Edition</t>
  </si>
  <si>
    <t>Broderick, Patricia C.;Blewitt, Pamela; Blewitt, Pamela</t>
  </si>
  <si>
    <t>https://ebookcentral.proquest.com/lib/fudan-ebooks/detail.action?docID=5137422</t>
  </si>
  <si>
    <t>Educational Assessment of Students: Pearson New International Edition</t>
  </si>
  <si>
    <t>Brookhart, Susan M.;Nitko, Anthony J.; Nitko, Anthony J.</t>
  </si>
  <si>
    <t>https://ebookcentral.proquest.com/lib/fudan-ebooks/detail.action?docID=5137423</t>
  </si>
  <si>
    <t>Managing Information Technology: Pearson New International Edition</t>
  </si>
  <si>
    <t>Brown, Carol V.;DeHayes, Daniel W;Hoffer, Jeffrey A.; DeHayes, Daniel W.; Hoffer, Jeffrey A.; Martin, Wainright E.; Perkins, William C.</t>
  </si>
  <si>
    <t>https://ebookcentral.proquest.com/lib/fudan-ebooks/detail.action?docID=5137429</t>
  </si>
  <si>
    <t>Career Information, Career Counseling, and Career Development: Pearson New International Edition</t>
  </si>
  <si>
    <t>Brown, Duane</t>
  </si>
  <si>
    <t>https://ebookcentral.proquest.com/lib/fudan-ebooks/detail.action?docID=5137432</t>
  </si>
  <si>
    <t>Laboratory Experiments for Chemistry: Pearson New International Edition</t>
  </si>
  <si>
    <t>Brown, Theodore E.;Nelson, John H.;Kemp, Kenneth C.</t>
  </si>
  <si>
    <t>https://ebookcentral.proquest.com/lib/fudan-ebooks/detail.action?docID=5137434</t>
  </si>
  <si>
    <t>Study Guide and Student's Solutions Manual for Organic Chemistry: Pearson New International Edition</t>
  </si>
  <si>
    <t>https://ebookcentral.proquest.com/lib/fudan-ebooks/detail.action?docID=5137440</t>
  </si>
  <si>
    <t>Computer Systems: Pearson New International Edition</t>
  </si>
  <si>
    <t>Bryant, Randal E;O'Hallaron, David R.</t>
  </si>
  <si>
    <t>https://ebookcentral.proquest.com/lib/fudan-ebooks/detail.action?docID=5137443</t>
  </si>
  <si>
    <t>Financial Crisis : Causes, Context, and Consequences</t>
  </si>
  <si>
    <t>Buckley, Adrian</t>
  </si>
  <si>
    <t>https://ebookcentral.proquest.com/lib/fudan-ebooks/detail.action?docID=5137446</t>
  </si>
  <si>
    <t>Managing Conflict through Communication: Pearson New International Edition</t>
  </si>
  <si>
    <t>Cahn, Dudley D.;Abigail, Ruth Anna; Abigail, Ruth Anna</t>
  </si>
  <si>
    <t>https://ebookcentral.proquest.com/lib/fudan-ebooks/detail.action?docID=5137470</t>
  </si>
  <si>
    <t>Public School Law: Pearson New International Edition</t>
  </si>
  <si>
    <t>Cambron-McCabe, Nelda H.;McCarthy, Martha M.;Eckes, Suzanne E.; McCarthy, Martha M.; Eckes, Suzanne E.</t>
  </si>
  <si>
    <t>https://ebookcentral.proquest.com/lib/fudan-ebooks/detail.action?docID=5137472</t>
  </si>
  <si>
    <t>Cappuccino, James G.;Sherman, Natalie; Sherman, Natalie</t>
  </si>
  <si>
    <t>https://ebookcentral.proquest.com/lib/fudan-ebooks/detail.action?docID=5137480</t>
  </si>
  <si>
    <t>Foundations of Addiction Counseling: Pearson New International Edition</t>
  </si>
  <si>
    <t>Capuzzi, David;Stauffer, Mark D.; Stauffer, Mark D.</t>
  </si>
  <si>
    <t>https://ebookcentral.proquest.com/lib/fudan-ebooks/detail.action?docID=5137481</t>
  </si>
  <si>
    <t>Teaching in the Middle and Secondary Schools: Pearson New International Edition</t>
  </si>
  <si>
    <t>Carjuzaa, Jioanna;Kellough, Richard D.; Kellough, Richard D.</t>
  </si>
  <si>
    <t>https://ebookcentral.proquest.com/lib/fudan-ebooks/detail.action?docID=5137482</t>
  </si>
  <si>
    <t>Foundations of Behavioral Neuroscience: Pearson New International Edition</t>
  </si>
  <si>
    <t>Carlson, Neil R.</t>
  </si>
  <si>
    <t>Science: Anatomy/Physiology; Science</t>
  </si>
  <si>
    <t>https://ebookcentral.proquest.com/lib/fudan-ebooks/detail.action?docID=5137483</t>
  </si>
  <si>
    <t>Physiology of Behavior: Pearson New International Edition</t>
  </si>
  <si>
    <t>Science; Science: Anatomy/Physiology; Science: Biology/Natural History</t>
  </si>
  <si>
    <t>https://ebookcentral.proquest.com/lib/fudan-ebooks/detail.action?docID=5137484</t>
  </si>
  <si>
    <t>Carlson, Neil R;Miller, Harold L.;Heth, Donald S.; Miller, Harold L.; Heth, Donald S.; Donahoe, John W.; Martin, G. Neil</t>
  </si>
  <si>
    <t>https://ebookcentral.proquest.com/lib/fudan-ebooks/detail.action?docID=5137486</t>
  </si>
  <si>
    <t>Mathematics for the Trades: Pearson New International Edition</t>
  </si>
  <si>
    <t>Carman, Robert A.;Saunders, Hal M.</t>
  </si>
  <si>
    <t>https://ebookcentral.proquest.com/lib/fudan-ebooks/detail.action?docID=5137488</t>
  </si>
  <si>
    <t>Labor Relations and Collective Bargaining: Pearson New International Edition</t>
  </si>
  <si>
    <t>Carrell, Michael R.;Heavrin, J.D., Christina; Heavrin, Christina</t>
  </si>
  <si>
    <t>https://ebookcentral.proquest.com/lib/fudan-ebooks/detail.action?docID=5137494</t>
  </si>
  <si>
    <t>Keys to Thinking and Learning: Pearson New International Edition</t>
  </si>
  <si>
    <t>Carter, Carol J.;Bishop, Joyce;Kravits, Sarah Lyman; Bishop, Joyce; Kravits, Sarah Lyman</t>
  </si>
  <si>
    <t>https://ebookcentral.proquest.com/lib/fudan-ebooks/detail.action?docID=5137498</t>
  </si>
  <si>
    <t>Enterprise and Small Business</t>
  </si>
  <si>
    <t>Carter, Sara;Jones-Evans, Dylan; Jones-Evans, Dylan</t>
  </si>
  <si>
    <t>https://ebookcentral.proquest.com/lib/fudan-ebooks/detail.action?docID=5137500</t>
  </si>
  <si>
    <t>Philosopher's Way, The: Pearson New International Edition</t>
  </si>
  <si>
    <t>Chaffee, John</t>
  </si>
  <si>
    <t>https://ebookcentral.proquest.com/lib/fudan-ebooks/detail.action?docID=5137513</t>
  </si>
  <si>
    <t>E-Business and E-Commerce Management</t>
  </si>
  <si>
    <t>Chaffey, Dave</t>
  </si>
  <si>
    <t>https://ebookcentral.proquest.com/lib/fudan-ebooks/detail.action?docID=5137514</t>
  </si>
  <si>
    <t>Elementary Social Studies: Pearson New International Edition</t>
  </si>
  <si>
    <t>Chapin, June R.</t>
  </si>
  <si>
    <t>https://ebookcentral.proquest.com/lib/fudan-ebooks/detail.action?docID=5137520</t>
  </si>
  <si>
    <t>Building Classroom Discipline: Pearson New International Edition</t>
  </si>
  <si>
    <t>Charles, C. M.</t>
  </si>
  <si>
    <t>https://ebookcentral.proquest.com/lib/fudan-ebooks/detail.action?docID=5137523</t>
  </si>
  <si>
    <t>Business Law: Pearson New International Edition</t>
  </si>
  <si>
    <t>Cheeseman, Henry R.; Anthony, Joseph H.; Bettinghaus, Bruce; Smith, Kenneth; Cheeseman, Henry R.</t>
  </si>
  <si>
    <t>https://ebookcentral.proquest.com/lib/fudan-ebooks/detail.action?docID=5137525</t>
  </si>
  <si>
    <t>Water-Resources Engineering: International Edition</t>
  </si>
  <si>
    <t>Chin, David A.</t>
  </si>
  <si>
    <t>https://ebookcentral.proquest.com/lib/fudan-ebooks/detail.action?docID=5137531</t>
  </si>
  <si>
    <t>Natural Resource Conservation: Pearson New International Edition</t>
  </si>
  <si>
    <t>Chiras, Daniel D.;Reganold, John P.; Reganold, John</t>
  </si>
  <si>
    <t>Environmental Studies; Economics</t>
  </si>
  <si>
    <t>https://ebookcentral.proquest.com/lib/fudan-ebooks/detail.action?docID=5137532</t>
  </si>
  <si>
    <t>Introduction to Occupation: Pearson New International Edition</t>
  </si>
  <si>
    <t>Christiansen, Charles;Townsend, Elizabeth; Townsend, Elizabeth</t>
  </si>
  <si>
    <t>https://ebookcentral.proquest.com/lib/fudan-ebooks/detail.action?docID=5137537</t>
  </si>
  <si>
    <t>Influence: Pearson New International Edition</t>
  </si>
  <si>
    <t>Cialdini, Robert B.</t>
  </si>
  <si>
    <t>https://ebookcentral.proquest.com/lib/fudan-ebooks/detail.action?docID=5137540</t>
  </si>
  <si>
    <t>Ciccarelli, Saundra;White, J. Noland; White, J. Noland</t>
  </si>
  <si>
    <t>https://ebookcentral.proquest.com/lib/fudan-ebooks/detail.action?docID=5137542</t>
  </si>
  <si>
    <t>Community Health Nursing: Pearson New International Edition</t>
  </si>
  <si>
    <t>Clark, Mary Jo</t>
  </si>
  <si>
    <t>https://ebookcentral.proquest.com/lib/fudan-ebooks/detail.action?docID=5137543</t>
  </si>
  <si>
    <t>Business Math Brief: Pearson New International Edition</t>
  </si>
  <si>
    <t>Cleaves, Cheryl;Hobbs, Margie;Noble, Jeffrey; Hobbs, Margie; Noble, Jeffrey</t>
  </si>
  <si>
    <t>https://ebookcentral.proquest.com/lib/fudan-ebooks/detail.action?docID=5137548</t>
  </si>
  <si>
    <t>Tourism: Pearson New International Edition</t>
  </si>
  <si>
    <t>Cook, Roy A;Hsu, Cathy J.;Marqua, Joseph J; Hsu, Cathy J.; Marqua, Joseph J.</t>
  </si>
  <si>
    <t>https://ebookcentral.proquest.com/lib/fudan-ebooks/detail.action?docID=5137567</t>
  </si>
  <si>
    <t>Essentials of Tourism</t>
  </si>
  <si>
    <t>Cooper, Chris</t>
  </si>
  <si>
    <t>Business/Management; Economics; Tourism/Hospitality</t>
  </si>
  <si>
    <t>https://ebookcentral.proquest.com/lib/fudan-ebooks/detail.action?docID=5137571</t>
  </si>
  <si>
    <t>Applied Behavior Analysis: Pearson New International Edition</t>
  </si>
  <si>
    <t>Cooper, John O.;Heron, Timothy E.;Heward, William L.; Heron, Timothy E.; Heward, William L.</t>
  </si>
  <si>
    <t>https://ebookcentral.proquest.com/lib/fudan-ebooks/detail.action?docID=5137573</t>
  </si>
  <si>
    <t>Financial Theory and Corporate Policy: Pearson New International Edition</t>
  </si>
  <si>
    <t>Copeland, Thomas E.;Weston, J. Fred;Shastri, Kuldeep; Weston, J. Fred; Shastri, Kuldeep</t>
  </si>
  <si>
    <t>https://ebookcentral.proquest.com/lib/fudan-ebooks/detail.action?docID=5137577</t>
  </si>
  <si>
    <t>Educational Leadership: Pearson New International Edition</t>
  </si>
  <si>
    <t>Cordeiro, Paula A.;Cunningham, William G.; Cunningham, William G.</t>
  </si>
  <si>
    <t>https://ebookcentral.proquest.com/lib/fudan-ebooks/detail.action?docID=5137578</t>
  </si>
  <si>
    <t>Introductory Chemistry: Pearson New International Edition</t>
  </si>
  <si>
    <t>Corwin, Charles H.</t>
  </si>
  <si>
    <t>https://ebookcentral.proquest.com/lib/fudan-ebooks/detail.action?docID=5137581</t>
  </si>
  <si>
    <t>Digital &amp; Analog Communication Systems: International Edition</t>
  </si>
  <si>
    <t>Couch, Leon W</t>
  </si>
  <si>
    <t>https://ebookcentral.proquest.com/lib/fudan-ebooks/detail.action?docID=5137584</t>
  </si>
  <si>
    <t>Introduction to Robotics: Pearson New International Edition</t>
  </si>
  <si>
    <t>Craig, John J.</t>
  </si>
  <si>
    <t>https://ebookcentral.proquest.com/lib/fudan-ebooks/detail.action?docID=5137593</t>
  </si>
  <si>
    <t>Creswell, John W.</t>
  </si>
  <si>
    <t>https://ebookcentral.proquest.com/lib/fudan-ebooks/detail.action?docID=5137595</t>
  </si>
  <si>
    <t>Engineering Mathematics</t>
  </si>
  <si>
    <t>Croft, Anthony;Davison, Robert;Hargreaves, Martin; Davison, Robert; Hargreaves, Martin; Flint, James</t>
  </si>
  <si>
    <t>https://ebookcentral.proquest.com/lib/fudan-ebooks/detail.action?docID=5137598</t>
  </si>
  <si>
    <t>How English Works: Pearson New International Edition</t>
  </si>
  <si>
    <t>Curzan, Anne;Adams, Michael</t>
  </si>
  <si>
    <t>https://ebookcentral.proquest.com/lib/fudan-ebooks/detail.action?docID=5137604</t>
  </si>
  <si>
    <t>Law Express Question and Answer: Evidence Law (Q&amp;A Revision Guide)</t>
  </si>
  <si>
    <t>D'Alton-Harrison, Rita</t>
  </si>
  <si>
    <t>https://ebookcentral.proquest.com/lib/fudan-ebooks/detail.action?docID=5137605</t>
  </si>
  <si>
    <t>Global Financial Systems : Stability and Risk</t>
  </si>
  <si>
    <t>Danielsson, Jon</t>
  </si>
  <si>
    <t>https://ebookcentral.proquest.com/lib/fudan-ebooks/detail.action?docID=5137611</t>
  </si>
  <si>
    <t>Understanding the Political World: Pearson New International Edition</t>
  </si>
  <si>
    <t>Danziger, James N.</t>
  </si>
  <si>
    <t>Political Science</t>
  </si>
  <si>
    <t>https://ebookcentral.proquest.com/lib/fudan-ebooks/detail.action?docID=5137612</t>
  </si>
  <si>
    <t>Davies, Tony;Crawford, Ian; Crawford, Ian</t>
  </si>
  <si>
    <t>https://ebookcentral.proquest.com/lib/fudan-ebooks/detail.action?docID=5137623</t>
  </si>
  <si>
    <t>Education of the Gifted and Talented: Pearson New International Edition</t>
  </si>
  <si>
    <t>Davis, Gary A.;Rimm, Sylvia B.;Siegle, Del B.; Rimm, Sylvia B.; Siegle, Del</t>
  </si>
  <si>
    <t>https://ebookcentral.proquest.com/lib/fudan-ebooks/detail.action?docID=5137625</t>
  </si>
  <si>
    <t>Law Express Question and Answer: Human Rights</t>
  </si>
  <si>
    <t>Davis, Howard</t>
  </si>
  <si>
    <t>https://ebookcentral.proquest.com/lib/fudan-ebooks/detail.action?docID=5137626</t>
  </si>
  <si>
    <t>Introduction to Statistics and Research Methods: Pearson New International Edition</t>
  </si>
  <si>
    <t>Davis, Stephen F.;Smith, Randolph A.; Smith, Randolph A.</t>
  </si>
  <si>
    <t>https://ebookcentral.proquest.com/lib/fudan-ebooks/detail.action?docID=5137628</t>
  </si>
  <si>
    <t>Marketing Research with SPSS</t>
  </si>
  <si>
    <t>De Pelsmacker, Patrick;Van Kenhove, Patrick;Janssens, Wim; Kenhove, Patrick van; Janssens, Wim; Wijnen, Katrien</t>
  </si>
  <si>
    <t>https://ebookcentral.proquest.com/lib/fudan-ebooks/detail.action?docID=5137634</t>
  </si>
  <si>
    <t>Stats: Pearson New International Edition</t>
  </si>
  <si>
    <t>De Veaux, Richard D.;Velleman, Paul F.;Bock, David E.</t>
  </si>
  <si>
    <t>https://ebookcentral.proquest.com/lib/fudan-ebooks/detail.action?docID=5137637</t>
  </si>
  <si>
    <t>Intro Stats: Pearson New International Edition</t>
  </si>
  <si>
    <t>De Veaux, Richard D.;Velleman, Paul F.;Bock, David E.; Velleman, Paul F.; Bock, David E.</t>
  </si>
  <si>
    <t>https://ebookcentral.proquest.com/lib/fudan-ebooks/detail.action?docID=5137638</t>
  </si>
  <si>
    <t>Practical Skills in Chemistry</t>
  </si>
  <si>
    <t>Dean, John;Holmes, David;Jones, Alan M; Holmes, David; Jones, Alan M.; Jones, Allan; Reed, Rob; Weyers, Jonathan</t>
  </si>
  <si>
    <t>https://ebookcentral.proquest.com/lib/fudan-ebooks/detail.action?docID=5137641</t>
  </si>
  <si>
    <t>Inside Track to Academic Research, Writing &amp; Referencing</t>
  </si>
  <si>
    <t>Deane, Mary</t>
  </si>
  <si>
    <t>https://ebookcentral.proquest.com/lib/fudan-ebooks/detail.action?docID=5137642</t>
  </si>
  <si>
    <t>Inside Track to Critical Thinking and Analysis</t>
  </si>
  <si>
    <t>Deane, Mary;Borg, Erik; Borg, Erik</t>
  </si>
  <si>
    <t>Psychology; Philosophy</t>
  </si>
  <si>
    <t>https://ebookcentral.proquest.com/lib/fudan-ebooks/detail.action?docID=5137643</t>
  </si>
  <si>
    <t>Business Ethics: Pearson New International Edition</t>
  </si>
  <si>
    <t>DeGeorge, Richard T</t>
  </si>
  <si>
    <t>https://ebookcentral.proquest.com/lib/fudan-ebooks/detail.action?docID=5137644</t>
  </si>
  <si>
    <t>Probability and Statistics: Pearson New International Edition</t>
  </si>
  <si>
    <t>DeGroot, Morris H.;Schervish, Mark J.; Schervish, Mark J.</t>
  </si>
  <si>
    <t>https://ebookcentral.proquest.com/lib/fudan-ebooks/detail.action?docID=5137645</t>
  </si>
  <si>
    <t>Negotiation and Dispute Resolution: Pearson New International Edition</t>
  </si>
  <si>
    <t>DeMarr, Beverly;De Janasz, Suzanne; DeMarr, Beverly</t>
  </si>
  <si>
    <t>https://ebookcentral.proquest.com/lib/fudan-ebooks/detail.action?docID=5137654</t>
  </si>
  <si>
    <t>Brilliant Graduate Career Handbook</t>
  </si>
  <si>
    <t>Done, Judith;Mulvey, Rachel; Mulvey, Rachel</t>
  </si>
  <si>
    <t>https://ebookcentral.proquest.com/lib/fudan-ebooks/detail.action?docID=5137670</t>
  </si>
  <si>
    <t>https://ebookcentral.proquest.com/lib/fudan-ebooks/detail.action?docID=5137671</t>
  </si>
  <si>
    <t>Mechanical Behavior of Materials : International Edition</t>
  </si>
  <si>
    <t>Dowling, Norman E.</t>
  </si>
  <si>
    <t>https://ebookcentral.proquest.com/lib/fudan-ebooks/detail.action?docID=5137675</t>
  </si>
  <si>
    <t>Psychology of Learning for Instruction: Pearson New International Edition</t>
  </si>
  <si>
    <t>Driscoll, Marcy P.</t>
  </si>
  <si>
    <t>https://ebookcentral.proquest.com/lib/fudan-ebooks/detail.action?docID=5137678</t>
  </si>
  <si>
    <t>Agricultural Economics: Pearson New International Edition</t>
  </si>
  <si>
    <t>Drummond, H. Evan;Goodwin, John W.; Goodwin, John W.</t>
  </si>
  <si>
    <t>https://ebookcentral.proquest.com/lib/fudan-ebooks/detail.action?docID=5137679</t>
  </si>
  <si>
    <t>Dugopolski, Mark</t>
  </si>
  <si>
    <t>https://ebookcentral.proquest.com/lib/fudan-ebooks/detail.action?docID=5137688</t>
  </si>
  <si>
    <t>https://ebookcentral.proquest.com/lib/fudan-ebooks/detail.action?docID=5137689</t>
  </si>
  <si>
    <t>Trigonometry: Pearson New International Edition</t>
  </si>
  <si>
    <t>https://ebookcentral.proquest.com/lib/fudan-ebooks/detail.action?docID=5137690</t>
  </si>
  <si>
    <t>Short Guide to Writing About Psychology: Pearson New International Edition</t>
  </si>
  <si>
    <t>Dunn, Dana S.</t>
  </si>
  <si>
    <t>https://ebookcentral.proquest.com/lib/fudan-ebooks/detail.action?docID=5137693</t>
  </si>
  <si>
    <t>Understanding Public Policy: Pearson New International Edition</t>
  </si>
  <si>
    <t>Dye, Thomas R.</t>
  </si>
  <si>
    <t>https://ebookcentral.proquest.com/lib/fudan-ebooks/detail.action?docID=5137694</t>
  </si>
  <si>
    <t>Social Marketing</t>
  </si>
  <si>
    <t>Eagle, Lynne;Dahl, Stephan;Hill, Susie; Dahl, Stephan; Hill, Susie; Bird, Sara; Spotswood, Fiona; Tapp, Alan</t>
  </si>
  <si>
    <t>https://ebookcentral.proquest.com/lib/fudan-ebooks/detail.action?docID=5137697</t>
  </si>
  <si>
    <t>Elementary Differential Equations with Boundary Value Problems: Pearson New International Edition</t>
  </si>
  <si>
    <t>Edwards, C. Henry;Penney, David E.; Penney, David E.</t>
  </si>
  <si>
    <t>https://ebookcentral.proquest.com/lib/fudan-ebooks/detail.action?docID=5137699</t>
  </si>
  <si>
    <t>Differential Equations and Linear Algebra: Pearson New International Edition</t>
  </si>
  <si>
    <t>https://ebookcentral.proquest.com/lib/fudan-ebooks/detail.action?docID=5137700</t>
  </si>
  <si>
    <t>Calculus, Early Transcendentals: Pearson New International Edition</t>
  </si>
  <si>
    <t>Edwards, Henry C.;Penney, David E.; Penney, David E.</t>
  </si>
  <si>
    <t>https://ebookcentral.proquest.com/lib/fudan-ebooks/detail.action?docID=5137701</t>
  </si>
  <si>
    <t>Creative Arts: Pearson New International Edition</t>
  </si>
  <si>
    <t>Edwards, Linda</t>
  </si>
  <si>
    <t>https://ebookcentral.proquest.com/lib/fudan-ebooks/detail.action?docID=5137702</t>
  </si>
  <si>
    <t>Brilliant Body Language : Impress, Persuade and Succeed with the Power of Body Language</t>
  </si>
  <si>
    <t>Eggert, Max</t>
  </si>
  <si>
    <t>https://ebookcentral.proquest.com/lib/fudan-ebooks/detail.action?docID=5137707</t>
  </si>
  <si>
    <t>Neuropsychology: Pearson New International Edition</t>
  </si>
  <si>
    <t>Elias, Lorin;Saucier, Deborah; Saucier, Deborah</t>
  </si>
  <si>
    <t>https://ebookcentral.proquest.com/lib/fudan-ebooks/detail.action?docID=5137710</t>
  </si>
  <si>
    <t>Learning Microsoft Office 2013: Pearson New International Edition</t>
  </si>
  <si>
    <t>Emergent Learning LLC;Weixel, Suzanne;Wempen, Faithe; Weixel, Suzanne; Wempen, Faithe; Skintik, Catherine</t>
  </si>
  <si>
    <t>https://ebookcentral.proquest.com/lib/fudan-ebooks/detail.action?docID=5137722</t>
  </si>
  <si>
    <t>Quantum Chemistry and Spectroscopy: Pearson New International Edition</t>
  </si>
  <si>
    <t>Engel, Thomas</t>
  </si>
  <si>
    <t>https://ebookcentral.proquest.com/lib/fudan-ebooks/detail.action?docID=5137723</t>
  </si>
  <si>
    <t>Thermodynamics, Statistical Thermodynamics, &amp; Kinetics: Pearson New International Edition</t>
  </si>
  <si>
    <t>Engel, Thomas;Reid, Philip; Reid, Philip</t>
  </si>
  <si>
    <t>Science; Science: Physics</t>
  </si>
  <si>
    <t>https://ebookcentral.proquest.com/lib/fudan-ebooks/detail.action?docID=5137724</t>
  </si>
  <si>
    <t>Physical Chemistry: Pearson New International Edition</t>
  </si>
  <si>
    <t>https://ebookcentral.proquest.com/lib/fudan-ebooks/detail.action?docID=5137725</t>
  </si>
  <si>
    <t>Fluid Power with Applications: Pearson New International Edition</t>
  </si>
  <si>
    <t>Esposito, Anthony</t>
  </si>
  <si>
    <t>Engineering; Engineering: General</t>
  </si>
  <si>
    <t>https://ebookcentral.proquest.com/lib/fudan-ebooks/detail.action?docID=5137729</t>
  </si>
  <si>
    <t>Bond Markets, Analysis and Strategies Global Edition</t>
  </si>
  <si>
    <t>Fabozzi, Frank J.</t>
  </si>
  <si>
    <t>https://ebookcentral.proquest.com/lib/fudan-ebooks/detail.action?docID=5137739</t>
  </si>
  <si>
    <t>Brilliant Job Hunting : Your complete guide to getting the job you want</t>
  </si>
  <si>
    <t>Fagan, Angela</t>
  </si>
  <si>
    <t>https://ebookcentral.proquest.com/lib/fudan-ebooks/detail.action?docID=5137741</t>
  </si>
  <si>
    <t>Law of the European Union (Foundations series)</t>
  </si>
  <si>
    <t>Fairhurst, John</t>
  </si>
  <si>
    <t>https://ebookcentral.proquest.com/lib/fudan-ebooks/detail.action?docID=5137742</t>
  </si>
  <si>
    <t>Out of Many: Pearson New International Edition</t>
  </si>
  <si>
    <t>Faragher, John Mack;Buhle, Mari Jo H.;Czitrom, Daniel H.; Buhle, Mari Jo; Czitrom, Daniel J.; Armitage, Susan H.</t>
  </si>
  <si>
    <t>https://ebookcentral.proquest.com/lib/fudan-ebooks/detail.action?docID=5137744</t>
  </si>
  <si>
    <t>https://ebookcentral.proquest.com/lib/fudan-ebooks/detail.action?docID=5137745</t>
  </si>
  <si>
    <t>Supply Chain Management: Pearson New International Edition</t>
  </si>
  <si>
    <t>Fawcett, Stanley E.;Ellram, Lisa M.;Ogden, Jeffrey A.; Ellram, Lisa M.; Ogden, Jeffrey A.</t>
  </si>
  <si>
    <t>https://ebookcentral.proquest.com/lib/fudan-ebooks/detail.action?docID=5137749</t>
  </si>
  <si>
    <t>Reason and Argument: Pearson New International Edition</t>
  </si>
  <si>
    <t>Feldman, Richard</t>
  </si>
  <si>
    <t>https://ebookcentral.proquest.com/lib/fudan-ebooks/detail.action?docID=5137750</t>
  </si>
  <si>
    <t>Development Across the Life Span: Pearson New International Edition</t>
  </si>
  <si>
    <t>https://ebookcentral.proquest.com/lib/fudan-ebooks/detail.action?docID=5137751</t>
  </si>
  <si>
    <t>Life Span Development: Pearson New International Edition</t>
  </si>
  <si>
    <t>https://ebookcentral.proquest.com/lib/fudan-ebooks/detail.action?docID=5137752</t>
  </si>
  <si>
    <t>Applied Hydrogeology: Pearson New International Edition</t>
  </si>
  <si>
    <t>Fetter, C.W.</t>
  </si>
  <si>
    <t>Science; Science: Geology</t>
  </si>
  <si>
    <t>https://ebookcentral.proquest.com/lib/fudan-ebooks/detail.action?docID=5137758</t>
  </si>
  <si>
    <t>Advertising</t>
  </si>
  <si>
    <t>Fill, Chris;Hughes, Graham;De Francesco, Scott; Hughes, Graham; De Francesco, Scott</t>
  </si>
  <si>
    <t>https://ebookcentral.proquest.com/lib/fudan-ebooks/detail.action?docID=5137761</t>
  </si>
  <si>
    <t>Researching and Writing a Dissertation : a guidebook for business students</t>
  </si>
  <si>
    <t>Fisher, Colin</t>
  </si>
  <si>
    <t>Education; Literature</t>
  </si>
  <si>
    <t>https://ebookcentral.proquest.com/lib/fudan-ebooks/detail.action?docID=5137774</t>
  </si>
  <si>
    <t>Principles of Electric Circuits: Pearson New International Edition</t>
  </si>
  <si>
    <t>https://ebookcentral.proquest.com/lib/fudan-ebooks/detail.action?docID=5137779</t>
  </si>
  <si>
    <t>https://ebookcentral.proquest.com/lib/fudan-ebooks/detail.action?docID=5137780</t>
  </si>
  <si>
    <t>Electronic Devices (Conventional Current Version): Pearson New International Edition</t>
  </si>
  <si>
    <t>Floyd, Thomas L.</t>
  </si>
  <si>
    <t>https://ebookcentral.proquest.com/lib/fudan-ebooks/detail.action?docID=5137781</t>
  </si>
  <si>
    <t>Electronic Devices (Electron Flow Version): Pearson New International Edition</t>
  </si>
  <si>
    <t>https://ebookcentral.proquest.com/lib/fudan-ebooks/detail.action?docID=5137782</t>
  </si>
  <si>
    <t>Electronics Fundamentals: Pearson New International Edition</t>
  </si>
  <si>
    <t>Floyd, Thomas L;Buchla, David; Buchla, David M.</t>
  </si>
  <si>
    <t>https://ebookcentral.proquest.com/lib/fudan-ebooks/detail.action?docID=5137783</t>
  </si>
  <si>
    <t>Psychology Express: Research Methods in Psychology (Undergraduate Revision Guide)</t>
  </si>
  <si>
    <t>Psychology Express</t>
  </si>
  <si>
    <t>Forshaw, Mark;Upton, Dominic;Jones, Steve; Forshaw, Mark; Upton, Dominic</t>
  </si>
  <si>
    <t>https://ebookcentral.proquest.com/lib/fudan-ebooks/detail.action?docID=5137785</t>
  </si>
  <si>
    <t>Policy Studies for Educational Leaders: Pearson New International Edition</t>
  </si>
  <si>
    <t>Fowler, Frances C.</t>
  </si>
  <si>
    <t>https://ebookcentral.proquest.com/lib/fudan-ebooks/detail.action?docID=5137791</t>
  </si>
  <si>
    <t>How to Keep Calm and Carry On : Stop worrying and start enjoying your life</t>
  </si>
  <si>
    <t>Freeman, Daniel;Freeman, Jason</t>
  </si>
  <si>
    <t>https://ebookcentral.proquest.com/lib/fudan-ebooks/detail.action?docID=5137797</t>
  </si>
  <si>
    <t>Planning and Administering Early Childhood Programs: Pearson New International Edition</t>
  </si>
  <si>
    <t>Freeman, Nancy K.;Decker, Celia A.;Decker, John R.; Decker, Celia A.; Decker, John R.</t>
  </si>
  <si>
    <t>https://ebookcentral.proquest.com/lib/fudan-ebooks/detail.action?docID=5137798</t>
  </si>
  <si>
    <t>Governmental and Nonprofit Accounting: Pearson New International Edition</t>
  </si>
  <si>
    <t>Freeman, Robert J.;Shoulders, Craig D.;Allison, Gregory S.; Shoulders, Craig D.; Allison, Gregory S.; Smith, G. Robert</t>
  </si>
  <si>
    <t>https://ebookcentral.proquest.com/lib/fudan-ebooks/detail.action?docID=5137799</t>
  </si>
  <si>
    <t>Biological Science: Pearson New International Edition</t>
  </si>
  <si>
    <t>Freeman, Scott;Quillin, Kim;Allison, Lizabeth; Quillin, Kim; Allison, Lizabeth</t>
  </si>
  <si>
    <t>https://ebookcentral.proquest.com/lib/fudan-ebooks/detail.action?docID=5137801</t>
  </si>
  <si>
    <t>Modern Elementary Statistics: Pearson New International Edition</t>
  </si>
  <si>
    <t>Freund, John E.;Perles, Benjamin M.; Perles, Benjamin M.</t>
  </si>
  <si>
    <t>https://ebookcentral.proquest.com/lib/fudan-ebooks/detail.action?docID=5137805</t>
  </si>
  <si>
    <t>Linear Algebra: Pearson New International Edition</t>
  </si>
  <si>
    <t>Friedberg, Stephen H;Insel, Arnold J;Spence, Lawrence E.; Insel, Arnold J.; Spence, Lawrence E.</t>
  </si>
  <si>
    <t>https://ebookcentral.proquest.com/lib/fudan-ebooks/detail.action?docID=5137806</t>
  </si>
  <si>
    <t>Feature Writing: Pearson New International Edition</t>
  </si>
  <si>
    <t>Friedlander, Edward Jay;Lee, John; Lee, John</t>
  </si>
  <si>
    <t>Journalism</t>
  </si>
  <si>
    <t>https://ebookcentral.proquest.com/lib/fudan-ebooks/detail.action?docID=5137807</t>
  </si>
  <si>
    <t>Personality: Pearson New International Edition</t>
  </si>
  <si>
    <t>Friedman, Howard S.;Schustack, Miriam W.; Schustack, Miriam W.</t>
  </si>
  <si>
    <t>https://ebookcentral.proquest.com/lib/fudan-ebooks/detail.action?docID=5137808</t>
  </si>
  <si>
    <t>Interactions: Pearson New International Edition</t>
  </si>
  <si>
    <t>Friend, Marilyn;Cook, Lynne; Cook, Lynne</t>
  </si>
  <si>
    <t>https://ebookcentral.proquest.com/lib/fudan-ebooks/detail.action?docID=5137810</t>
  </si>
  <si>
    <t>Fashion: Pearson New International Edition</t>
  </si>
  <si>
    <t>Frings, Gini Stephens</t>
  </si>
  <si>
    <t>Engineering; Engineering: Manufacturing</t>
  </si>
  <si>
    <t>https://ebookcentral.proquest.com/lib/fudan-ebooks/detail.action?docID=5137811</t>
  </si>
  <si>
    <t>Medical Terminology: Pearson New International Edition</t>
  </si>
  <si>
    <t>Frucht, Suzanne S.</t>
  </si>
  <si>
    <t>https://ebookcentral.proquest.com/lib/fudan-ebooks/detail.action?docID=5137813</t>
  </si>
  <si>
    <t>Brilliant Excel VBA Programming</t>
  </si>
  <si>
    <t>Frye, Curtis; Frye, Curtis</t>
  </si>
  <si>
    <t>Business/Management; Computer Science/IT</t>
  </si>
  <si>
    <t>https://ebookcentral.proquest.com/lib/fudan-ebooks/detail.action?docID=5137814</t>
  </si>
  <si>
    <t>Commercial Law</t>
  </si>
  <si>
    <t>Furmston, Michael;Chuah, Jason; Chuah, Jason</t>
  </si>
  <si>
    <t>https://ebookcentral.proquest.com/lib/fudan-ebooks/detail.action?docID=5137818</t>
  </si>
  <si>
    <t>Starting Out with Programming Logic and Design: Pearson New International Edition</t>
  </si>
  <si>
    <t>https://ebookcentral.proquest.com/lib/fudan-ebooks/detail.action?docID=5137822</t>
  </si>
  <si>
    <t>Applying Educational Research: Pearson New International Edition</t>
  </si>
  <si>
    <t>Gall, Joyce P.;Gall, M. D.;Borg, Walter R.; Gall, Meredith (Mark) D.; Borg, Walter R.</t>
  </si>
  <si>
    <t>https://ebookcentral.proquest.com/lib/fudan-ebooks/detail.action?docID=5137830</t>
  </si>
  <si>
    <t>Facilities Planning and Design: Pearson New International Edition</t>
  </si>
  <si>
    <t>Garcia-Diaz, Alberto;Smith, J. MacGregor; Smith, J. MacGregor</t>
  </si>
  <si>
    <t>https://ebookcentral.proquest.com/lib/fudan-ebooks/detail.action?docID=5137832</t>
  </si>
  <si>
    <t>Database Systems: Pearson New International Edition</t>
  </si>
  <si>
    <t>Garcia-Molina, Hector;Ullman, Jeffrey D;Widom, Jennifer; Ullman, Jeffrey D.; Widom, Jennifer</t>
  </si>
  <si>
    <t>https://ebookcentral.proquest.com/lib/fudan-ebooks/detail.action?docID=5137833</t>
  </si>
  <si>
    <t>Lives Across Cultures: Pearson New International Edition</t>
  </si>
  <si>
    <t>Gardiner, Harry W.;Kosmitzki, Corinne; Kosmitzki, Corinne</t>
  </si>
  <si>
    <t>https://ebookcentral.proquest.com/lib/fudan-ebooks/detail.action?docID=5137834</t>
  </si>
  <si>
    <t>Economics Express: Macroeconomics</t>
  </si>
  <si>
    <t>Garratt, Dean</t>
  </si>
  <si>
    <t>https://ebookcentral.proquest.com/lib/fudan-ebooks/detail.action?docID=5137835</t>
  </si>
  <si>
    <t>GO! with Microsoft Access 2010 Introductory: Pearson New International Edition</t>
  </si>
  <si>
    <t>Gaskin, Shelley;McLellan, Carolyn;Graviett, Nancy; McLellan, Carolyn; Graviett, Nancy</t>
  </si>
  <si>
    <t>https://ebookcentral.proquest.com/lib/fudan-ebooks/detail.action?docID=5137838</t>
  </si>
  <si>
    <t>From Brainwave to Business : How to Turn Your Brilliant Idea into a Successful Start-Up</t>
  </si>
  <si>
    <t>Financial Times</t>
  </si>
  <si>
    <t>Gates, Celia</t>
  </si>
  <si>
    <t>https://ebookcentral.proquest.com/lib/fudan-ebooks/detail.action?docID=5137840</t>
  </si>
  <si>
    <t>International Economics: Pearson New International Edition</t>
  </si>
  <si>
    <t>Gerber, James</t>
  </si>
  <si>
    <t>https://ebookcentral.proquest.com/lib/fudan-ebooks/detail.action?docID=5137844</t>
  </si>
  <si>
    <t>Psychology and Life: Pearson New International Edition</t>
  </si>
  <si>
    <t>Gerrig, Richard J.</t>
  </si>
  <si>
    <t>https://ebookcentral.proquest.com/lib/fudan-ebooks/detail.action?docID=5137845</t>
  </si>
  <si>
    <t>Psychology and Life</t>
  </si>
  <si>
    <t>Gerrig, Richard J.;Zimbardo, Philip;Svartdal, Frode; Zimbardo, Philip; Svartdal, Frode; Brennan, Tim; Donaldson, Roger; Archer, Trevor</t>
  </si>
  <si>
    <t>https://ebookcentral.proquest.com/lib/fudan-ebooks/detail.action?docID=5137846</t>
  </si>
  <si>
    <t>Technical Communication: Pearson New International Edition</t>
  </si>
  <si>
    <t>Gerson, Sharon;Gerson, Steven; Gerson, Steven M.</t>
  </si>
  <si>
    <t>https://ebookcentral.proquest.com/lib/fudan-ebooks/detail.action?docID=5137847</t>
  </si>
  <si>
    <t>Fundamentals of Probability, with Stochastic Processes: Pearson New International Edition</t>
  </si>
  <si>
    <t>Ghahramani, Saeed</t>
  </si>
  <si>
    <t>https://ebookcentral.proquest.com/lib/fudan-ebooks/detail.action?docID=5137849</t>
  </si>
  <si>
    <t>Elementary Surveying : International Edition</t>
  </si>
  <si>
    <t>Ghilani, Charles D.;Wolf, Paul R</t>
  </si>
  <si>
    <t>https://ebookcentral.proquest.com/lib/fudan-ebooks/detail.action?docID=5137851</t>
  </si>
  <si>
    <t>Physics for Scientists &amp; Engineers with Modern Physics: Pearson New International Edition</t>
  </si>
  <si>
    <t>Giancoli, Doug</t>
  </si>
  <si>
    <t>https://ebookcentral.proquest.com/lib/fudan-ebooks/detail.action?docID=5137852</t>
  </si>
  <si>
    <t>Physics: Pearson New International Edition</t>
  </si>
  <si>
    <t>https://ebookcentral.proquest.com/lib/fudan-ebooks/detail.action?docID=5137853</t>
  </si>
  <si>
    <t>Physics for Scientists &amp; Engineers (Chs 1-37): Pearson New International Edition</t>
  </si>
  <si>
    <t>Giancoli, Douglas C.</t>
  </si>
  <si>
    <t>Science: Physics; Science</t>
  </si>
  <si>
    <t>https://ebookcentral.proquest.com/lib/fudan-ebooks/detail.action?docID=5137854</t>
  </si>
  <si>
    <t>Physics for Scientists &amp; Engineers Vol. 2 (Chs 21-35): Pearson New International Edition</t>
  </si>
  <si>
    <t>https://ebookcentral.proquest.com/lib/fudan-ebooks/detail.action?docID=5137856</t>
  </si>
  <si>
    <t>Physics for Scientists &amp; Engineers with Modern Physics, Vol. 3 (Chs 36-44): Pearson New International Edition</t>
  </si>
  <si>
    <t>https://ebookcentral.proquest.com/lib/fudan-ebooks/detail.action?docID=5137857</t>
  </si>
  <si>
    <t>Technical Drawing with Engineering Graphics: Pearson New International Edition</t>
  </si>
  <si>
    <t>Giesecke, Frederick E.;Hill, Ivan Leroy;Spencer, Henry C.; Hill, Ivan Leroy; Mitchell, Alva E.; Spencer, Henry C.; Dygdon, John Thomas; Lockhart, Shawna; Novak, James E.; Goodman, Marla</t>
  </si>
  <si>
    <t>https://ebookcentral.proquest.com/lib/fudan-ebooks/detail.action?docID=5137858</t>
  </si>
  <si>
    <t>Engineering Graphics: Pearson New International Edition</t>
  </si>
  <si>
    <t>Giesecke, Frederick E.;Mitchell, Alva E.;Spencer, Henry C.; Giesecke, Frederick E.; Spencer, Henry C.; Hill, Ivan Leroy; Dygdon, John Thomas; Loving, Robert Olin; Novak, James E.</t>
  </si>
  <si>
    <t>https://ebookcentral.proquest.com/lib/fudan-ebooks/detail.action?docID=5137859</t>
  </si>
  <si>
    <t>Asking Questions in Biology</t>
  </si>
  <si>
    <t>Gilbert, Francis;Mcgregor, Peter;Barnard, Chris; McGregor, Peter; Barnard, Chris</t>
  </si>
  <si>
    <t>https://ebookcentral.proquest.com/lib/fudan-ebooks/detail.action?docID=5137861</t>
  </si>
  <si>
    <t>Dimensions of Social Welfare Policy: Pearson New International Edition</t>
  </si>
  <si>
    <t>Gilbert, Neil;Terrell, Paul; Terrell, Paul</t>
  </si>
  <si>
    <t>https://ebookcentral.proquest.com/lib/fudan-ebooks/detail.action?docID=5137862</t>
  </si>
  <si>
    <t>Inside Track to Successful Academic Writing</t>
  </si>
  <si>
    <t>Gillett, Andy;Hammond, Angela;Martala, Mary; Hammond, Angela; Martala, Mary</t>
  </si>
  <si>
    <t>https://ebookcentral.proquest.com/lib/fudan-ebooks/detail.action?docID=5137863</t>
  </si>
  <si>
    <t>International Relations, Brief Edition, 2012-2013 Update: Pearson New International Edition</t>
  </si>
  <si>
    <t>Goldstein, Joshua S.;Pevehouse, Jon C.; Pevehouse, Jon C.</t>
  </si>
  <si>
    <t>https://ebookcentral.proquest.com/lib/fudan-ebooks/detail.action?docID=5137876</t>
  </si>
  <si>
    <t>International Relations, 2012-2013 Update: Pearson New International Edition</t>
  </si>
  <si>
    <t>Goldstein, Joshua;Pevehouse, Jon C.; Pevehouse, Jon C.</t>
  </si>
  <si>
    <t>https://ebookcentral.proquest.com/lib/fudan-ebooks/detail.action?docID=5137877</t>
  </si>
  <si>
    <t>Child, Family, and Community: Pearson New International Edition</t>
  </si>
  <si>
    <t>Gonzalez-Mena, Janet</t>
  </si>
  <si>
    <t>Home Economics</t>
  </si>
  <si>
    <t>https://ebookcentral.proquest.com/lib/fudan-ebooks/detail.action?docID=5137881</t>
  </si>
  <si>
    <t>Goode, Stephen W.;Annin, Scott A.; Annin, Scott A.</t>
  </si>
  <si>
    <t>https://ebookcentral.proquest.com/lib/fudan-ebooks/detail.action?docID=5137882</t>
  </si>
  <si>
    <t>EU and UK Competition Law</t>
  </si>
  <si>
    <t>Graham, Cosmo</t>
  </si>
  <si>
    <t>https://ebookcentral.proquest.com/lib/fudan-ebooks/detail.action?docID=5137888</t>
  </si>
  <si>
    <t>Plant Biology: Pearson New International Edition</t>
  </si>
  <si>
    <t>Graham, Linda E.;Graham, Jim M.;Wilcox, Lee W.; Graham, Linda E.; Wilcox, Lee W.</t>
  </si>
  <si>
    <t>Science: Botany; Science</t>
  </si>
  <si>
    <t>https://ebookcentral.proquest.com/lib/fudan-ebooks/detail.action?docID=5137889</t>
  </si>
  <si>
    <t>Brilliant Social Media : How to start, refine and improve your social business media strategy</t>
  </si>
  <si>
    <t>Gray, Adam</t>
  </si>
  <si>
    <t>https://ebookcentral.proquest.com/lib/fudan-ebooks/detail.action?docID=5137896</t>
  </si>
  <si>
    <t>Research Methods: Pearson New International Edition</t>
  </si>
  <si>
    <t>Graziano, Anthony M.;Raulin, Michael L.; Raulin, Michael L.</t>
  </si>
  <si>
    <t>General Works/Reference</t>
  </si>
  <si>
    <t>https://ebookcentral.proquest.com/lib/fudan-ebooks/detail.action?docID=5137898</t>
  </si>
  <si>
    <t>Jazz Styles: Pearson New International Edition</t>
  </si>
  <si>
    <t>Gridley, Mark C.</t>
  </si>
  <si>
    <t>https://ebookcentral.proquest.com/lib/fudan-ebooks/detail.action?docID=5137906</t>
  </si>
  <si>
    <t>Applied Economics</t>
  </si>
  <si>
    <t>Griffiths, Alan;Wall, Stuart; Wall, Stuart</t>
  </si>
  <si>
    <t>https://ebookcentral.proquest.com/lib/fudan-ebooks/detail.action?docID=5137910</t>
  </si>
  <si>
    <t>Introduction to Quantum Mechanics: Pearson New International Edition</t>
  </si>
  <si>
    <t>Griffiths, David J</t>
  </si>
  <si>
    <t>https://ebookcentral.proquest.com/lib/fudan-ebooks/detail.action?docID=5137911</t>
  </si>
  <si>
    <t>Introduction to Electrodynamics: Pearson New International Edition</t>
  </si>
  <si>
    <t>Griffiths, David J.</t>
  </si>
  <si>
    <t>https://ebookcentral.proquest.com/lib/fudan-ebooks/detail.action?docID=5137912</t>
  </si>
  <si>
    <t>Discrete and Combinatorial Mathematics: Pearson New International Edition</t>
  </si>
  <si>
    <t>Grimaldi, Ralph P.</t>
  </si>
  <si>
    <t>https://ebookcentral.proquest.com/lib/fudan-ebooks/detail.action?docID=5137914</t>
  </si>
  <si>
    <t>Groebner, David F.;Shannon, Patrick W.;Fry, Phillip C; Shannon, Patrick W.; Fry, Phillip C.; Smith, Kent D.</t>
  </si>
  <si>
    <t>https://ebookcentral.proquest.com/lib/fudan-ebooks/detail.action?docID=5137915</t>
  </si>
  <si>
    <t>Creating Literacy Instruction for All Students: Pearson New International Edition</t>
  </si>
  <si>
    <t>Gunning, Thomas G.</t>
  </si>
  <si>
    <t>Religion</t>
  </si>
  <si>
    <t>https://ebookcentral.proquest.com/lib/fudan-ebooks/detail.action?docID=5137922</t>
  </si>
  <si>
    <t>Mathematics of Interest Rates and Finance: Pearson New International Edition</t>
  </si>
  <si>
    <t>Guthrie, Gary C.;Lemon, Larry D.; Lemon, Larry D.</t>
  </si>
  <si>
    <t>https://ebookcentral.proquest.com/lib/fudan-ebooks/detail.action?docID=5137925</t>
  </si>
  <si>
    <t>Applied Partial Differential Equations with Fourier Series and Boundary Value Problems: Pearson New International Edition</t>
  </si>
  <si>
    <t>Haberman, Richard</t>
  </si>
  <si>
    <t>https://ebookcentral.proquest.com/lib/fudan-ebooks/detail.action?docID=5137928</t>
  </si>
  <si>
    <t>Automotive Technology: Pearson New International Edition</t>
  </si>
  <si>
    <t>Halderman, James D.</t>
  </si>
  <si>
    <t>https://ebookcentral.proquest.com/lib/fudan-ebooks/detail.action?docID=5137934</t>
  </si>
  <si>
    <t>Exceptional Learners: Pearson New International Edition</t>
  </si>
  <si>
    <t>Hallahan, Daniel P.;Kauffman, James M;Pullen, Paige C.; Kauffman, James M.; Pullen, Paige C.</t>
  </si>
  <si>
    <t>https://ebookcentral.proquest.com/lib/fudan-ebooks/detail.action?docID=5137946</t>
  </si>
  <si>
    <t>Halson, R.</t>
  </si>
  <si>
    <t>https://ebookcentral.proquest.com/lib/fudan-ebooks/detail.action?docID=5137947</t>
  </si>
  <si>
    <t>Water and Wastewater Technology: Pearson New International Edition</t>
  </si>
  <si>
    <t>Hammer, Sr., Mark J.;Hammer, Jr., Mark J.; Hammer, Mark J.</t>
  </si>
  <si>
    <t>Engineering; Engineering: Environmental</t>
  </si>
  <si>
    <t>https://ebookcentral.proquest.com/lib/fudan-ebooks/detail.action?docID=5137951</t>
  </si>
  <si>
    <t>Person to Person: Pearson New International Edition</t>
  </si>
  <si>
    <t>Hanna, Sharon L.;Suggett, Rose;Radtke, Doug; Suggett, Rose; Radtke, Doug</t>
  </si>
  <si>
    <t>https://ebookcentral.proquest.com/lib/fudan-ebooks/detail.action?docID=5137956</t>
  </si>
  <si>
    <t>Games, Ideas and Activities for Early Years Mathematics</t>
  </si>
  <si>
    <t>Hansen, Alice</t>
  </si>
  <si>
    <t>https://ebookcentral.proquest.com/lib/fudan-ebooks/detail.action?docID=5137958</t>
  </si>
  <si>
    <t>Effective Classroom Management: Pearson New International Edition</t>
  </si>
  <si>
    <t>Hardin, Carlette Jackson</t>
  </si>
  <si>
    <t>https://ebookcentral.proquest.com/lib/fudan-ebooks/detail.action?docID=5137959</t>
  </si>
  <si>
    <t>Science Experiences for the  Early Childhood Years: Pearson New International Edition</t>
  </si>
  <si>
    <t>Harlan, Jean D.;Rivkin, Mary S.; Rivkin, Mary S.</t>
  </si>
  <si>
    <t>https://ebookcentral.proquest.com/lib/fudan-ebooks/detail.action?docID=5137961</t>
  </si>
  <si>
    <t>Customer Service: Pearson New International Edition</t>
  </si>
  <si>
    <t>Harris, Elaine K.</t>
  </si>
  <si>
    <t>https://ebookcentral.proquest.com/lib/fudan-ebooks/detail.action?docID=5137962</t>
  </si>
  <si>
    <t>Modern Physics: Pearson New International Edition</t>
  </si>
  <si>
    <t>Harris, Randy</t>
  </si>
  <si>
    <t>https://ebookcentral.proquest.com/lib/fudan-ebooks/detail.action?docID=5137965</t>
  </si>
  <si>
    <t>Gravity: Pearson New International Edition</t>
  </si>
  <si>
    <t>Hartle, James B.</t>
  </si>
  <si>
    <t>https://ebookcentral.proquest.com/lib/fudan-ebooks/detail.action?docID=5137970</t>
  </si>
  <si>
    <t>Hartmann &amp; Kester's Plant Propagation: Pearson New International Edition</t>
  </si>
  <si>
    <t>Hartmann, Hudson T.;Kester, Dale E.;Davies, Fred T.; Kester, Dale E.; Geneve, Robert; Davies, Fred T.</t>
  </si>
  <si>
    <t>https://ebookcentral.proquest.com/lib/fudan-ebooks/detail.action?docID=5137971</t>
  </si>
  <si>
    <t>University Calculus, Early Transcendentals: Pearson New International Edition</t>
  </si>
  <si>
    <t>Hass, Joel R.;Weir, Maurice D.;Thomas, George B.; Weir, Maurice D.; Thomas, George B., Jr.</t>
  </si>
  <si>
    <t>https://ebookcentral.proquest.com/lib/fudan-ebooks/detail.action?docID=5137972</t>
  </si>
  <si>
    <t>Computer Graphics with Open GL: Pearson New International Edition</t>
  </si>
  <si>
    <t>Hearn, Donald D.;Baker, Pauline;Carithers, Warren; Baker, Pauline; Carithers, Warren</t>
  </si>
  <si>
    <t>https://ebookcentral.proquest.com/lib/fudan-ebooks/detail.action?docID=5137981</t>
  </si>
  <si>
    <t>Optics: Pearson New International Edition</t>
  </si>
  <si>
    <t>Hecht, Eugene</t>
  </si>
  <si>
    <t>https://ebookcentral.proquest.com/lib/fudan-ebooks/detail.action?docID=5137983</t>
  </si>
  <si>
    <t>Henslin, James M.</t>
  </si>
  <si>
    <t>https://ebookcentral.proquest.com/lib/fudan-ebooks/detail.action?docID=5137989</t>
  </si>
  <si>
    <t>Social Problems: Pearson New International Edition</t>
  </si>
  <si>
    <t>https://ebookcentral.proquest.com/lib/fudan-ebooks/detail.action?docID=5137990</t>
  </si>
  <si>
    <t>How to Have a Brilliant Life : Put a little bit more in. Get so much more out</t>
  </si>
  <si>
    <t>Heppell, Michael</t>
  </si>
  <si>
    <t>https://ebookcentral.proquest.com/lib/fudan-ebooks/detail.action?docID=5137993</t>
  </si>
  <si>
    <t>How to Argue : Powerfully, Persuasively, Positively</t>
  </si>
  <si>
    <t>Philosophy; Psychology</t>
  </si>
  <si>
    <t>https://ebookcentral.proquest.com/lib/fudan-ebooks/detail.action?docID=5137996</t>
  </si>
  <si>
    <t>Law Express Question and Answer: Family Law</t>
  </si>
  <si>
    <t>https://ebookcentral.proquest.com/lib/fudan-ebooks/detail.action?docID=5137998</t>
  </si>
  <si>
    <t>Exceptional Children: Pearson New International Edition</t>
  </si>
  <si>
    <t>Heward, William L.</t>
  </si>
  <si>
    <t>https://ebookcentral.proquest.com/lib/fudan-ebooks/detail.action?docID=5138006</t>
  </si>
  <si>
    <t>Conceptual Physics Fundamentals: Pearson New International Edition</t>
  </si>
  <si>
    <t>Hewitt, Paul G.</t>
  </si>
  <si>
    <t>https://ebookcentral.proquest.com/lib/fudan-ebooks/detail.action?docID=5138007</t>
  </si>
  <si>
    <t>Conceptual Integrated Science: Pearson New International Edition</t>
  </si>
  <si>
    <t>Hewitt, Paul G;Lyons, Suzanne A;Suchocki, John A; Lyons, Suzanne A.; Suchocki, John A.; Yeh, Jennifer</t>
  </si>
  <si>
    <t>Science: General</t>
  </si>
  <si>
    <t>https://ebookcentral.proquest.com/lib/fudan-ebooks/detail.action?docID=5138009</t>
  </si>
  <si>
    <t>Economic Way of Thinking: Pearson New International Edition</t>
  </si>
  <si>
    <t>Heyne, Paul L.;Boettke, Peter J.;Prychitko, David L.; Boettke, Peter J.; Prychitko, David L.</t>
  </si>
  <si>
    <t>https://ebookcentral.proquest.com/lib/fudan-ebooks/detail.action?docID=5138010</t>
  </si>
  <si>
    <t>Introduction to Geographical Information Systems</t>
  </si>
  <si>
    <t>Heywood, Ian;Cornelius, Sarah;Carver, Steve; Cornelius, Sarah; Carver, Steve</t>
  </si>
  <si>
    <t>Geography/Travel</t>
  </si>
  <si>
    <t>https://ebookcentral.proquest.com/lib/fudan-ebooks/detail.action?docID=5138011</t>
  </si>
  <si>
    <t>Hobson, Art</t>
  </si>
  <si>
    <t>https://ebookcentral.proquest.com/lib/fudan-ebooks/detail.action?docID=5138016</t>
  </si>
  <si>
    <t>Human Rights in the UK : An Introduction to the Human Rights Act 1998</t>
  </si>
  <si>
    <t>Hoffman, David;Rowe Q.C., John; Rowe, John, QC</t>
  </si>
  <si>
    <t>https://ebookcentral.proquest.com/lib/fudan-ebooks/detail.action?docID=5138023</t>
  </si>
  <si>
    <t>Introduction to Mathematical Statistics: Pearson New International Edition</t>
  </si>
  <si>
    <t>Hogg, Robert V.;McKean, Joeseph;Craig, Allen T; McKean, Joseph W.; Craig, Allen T.</t>
  </si>
  <si>
    <t>https://ebookcentral.proquest.com/lib/fudan-ebooks/detail.action?docID=5138024</t>
  </si>
  <si>
    <t>Technical Writing Basics: Pearson New International Edition</t>
  </si>
  <si>
    <t>Holloway, Brian R.</t>
  </si>
  <si>
    <t>https://ebookcentral.proquest.com/lib/fudan-ebooks/detail.action?docID=5138034</t>
  </si>
  <si>
    <t>Interpreting Company Reports</t>
  </si>
  <si>
    <t>Holmes, Geoffrey;Sugden, Alan;Gee, Paul; Sugden, Alan; Gee, Paul</t>
  </si>
  <si>
    <t>https://ebookcentral.proquest.com/lib/fudan-ebooks/detail.action?docID=5138037</t>
  </si>
  <si>
    <t>Social Gerontology: Pearson New International Edition</t>
  </si>
  <si>
    <t>Hooyman, Nancy;Kiyak, H. Asuman S.; Kiyak, H. Asuman</t>
  </si>
  <si>
    <t>https://ebookcentral.proquest.com/lib/fudan-ebooks/detail.action?docID=5138041</t>
  </si>
  <si>
    <t>Introduction to Financial Accounting:Pearson New International Edition</t>
  </si>
  <si>
    <t>Horngren, Charles T.;Sundem, Gary L.;Elliott, John A.; Sundem, Gary L.; Elliott, John A.; Philbrick, Donna</t>
  </si>
  <si>
    <t>https://ebookcentral.proquest.com/lib/fudan-ebooks/detail.action?docID=5138043</t>
  </si>
  <si>
    <t>Graphical Approach to Precalculus with Limits: Pearson New International Edition</t>
  </si>
  <si>
    <t>Hornsby, John;Lial, Margaret;Rockswold, Gary K; Lial, Margaret L.; Rockswold, Gary K.</t>
  </si>
  <si>
    <t>https://ebookcentral.proquest.com/lib/fudan-ebooks/detail.action?docID=5138046</t>
  </si>
  <si>
    <t>Chemistry</t>
  </si>
  <si>
    <t>Housecroft, Catherine;Constable, Edwin; Constable, Edwin</t>
  </si>
  <si>
    <t>https://ebookcentral.proquest.com/lib/fudan-ebooks/detail.action?docID=5138047</t>
  </si>
  <si>
    <t>Inorganic Chemistry</t>
  </si>
  <si>
    <t>Housecroft, Catherine;Sharpe, Alan G.; Sharpe, Alan G.</t>
  </si>
  <si>
    <t>https://ebookcentral.proquest.com/lib/fudan-ebooks/detail.action?docID=5138048</t>
  </si>
  <si>
    <t>Meaningful Learning with Technology: Pearson New International Edition</t>
  </si>
  <si>
    <t>Howland, Jane L.;Jonassen, David H.;Marra, Rose M.; Jonassen, David H.; Marra, Rose M.</t>
  </si>
  <si>
    <t>https://ebookcentral.proquest.com/lib/fudan-ebooks/detail.action?docID=5138058</t>
  </si>
  <si>
    <t>Learning American Sign Language: Pearson New International Edition</t>
  </si>
  <si>
    <t>Humphries, Tom L.;Padden, Carol A.;Hills, Robert</t>
  </si>
  <si>
    <t>https://ebookcentral.proquest.com/lib/fudan-ebooks/detail.action?docID=5138078</t>
  </si>
  <si>
    <t>Brief Atlas of the Human Body, A (ValuePack Only): Pearson New International Edition</t>
  </si>
  <si>
    <t>Hutchinson, Matt;Mallatt, Jon B.;Marieb, Elaine N.; Mallatt, Jon; Marieb, Elaine N.; Wilhelm, Patricia Brady</t>
  </si>
  <si>
    <t>https://ebookcentral.proquest.com/lib/fudan-ebooks/detail.action?docID=5138081</t>
  </si>
  <si>
    <t>International Trauma Life Support for Emergency Care Providers: Pearson New International Edition</t>
  </si>
  <si>
    <t>International Trauma Life Support (ITLS), . .;Campbell, John; Campbell, John</t>
  </si>
  <si>
    <t>https://ebookcentral.proquest.com/lib/fudan-ebooks/detail.action?docID=5138087</t>
  </si>
  <si>
    <t>Percorsi: Pearson New International Edition</t>
  </si>
  <si>
    <t>Italiano, Francesca;Marchegiani, Irene; Marchegiani, Irene</t>
  </si>
  <si>
    <t>https://ebookcentral.proquest.com/lib/fudan-ebooks/detail.action?docID=5138092</t>
  </si>
  <si>
    <t>Forensic Science</t>
  </si>
  <si>
    <t>Jackson, Andrew R.W.;Jackson, Julie M.</t>
  </si>
  <si>
    <t>https://ebookcentral.proquest.com/lib/fudan-ebooks/detail.action?docID=5138093</t>
  </si>
  <si>
    <t>Remote Sensing of the Environment: Pearson New International Edition</t>
  </si>
  <si>
    <t>Jensen, John R</t>
  </si>
  <si>
    <t>https://ebookcentral.proquest.com/lib/fudan-ebooks/detail.action?docID=5138106</t>
  </si>
  <si>
    <t>Process Control Instrumentation Technology: Pearson New International Edition</t>
  </si>
  <si>
    <t>Johnson, Curtis D.</t>
  </si>
  <si>
    <t>https://ebookcentral.proquest.com/lib/fudan-ebooks/detail.action?docID=5138110</t>
  </si>
  <si>
    <t>Joining Together: Pearson New International Edition</t>
  </si>
  <si>
    <t>Johnson, David W.;Johnson, Frank P.; Johnson, Frank P.</t>
  </si>
  <si>
    <t>https://ebookcentral.proquest.com/lib/fudan-ebooks/detail.action?docID=5138111</t>
  </si>
  <si>
    <t>Human Biology: Pearson New International Edition</t>
  </si>
  <si>
    <t>Johnson, Michael D</t>
  </si>
  <si>
    <t>https://ebookcentral.proquest.com/lib/fudan-ebooks/detail.action?docID=5138116</t>
  </si>
  <si>
    <t>Miller &amp; Freund's Probability and Statistics for Engineers: Pearson New International Edition</t>
  </si>
  <si>
    <t>Johnson, Richard A.;Miller, Irwin;Freund, John; Miller, Irwin; Freund, John E.</t>
  </si>
  <si>
    <t>https://ebookcentral.proquest.com/lib/fudan-ebooks/detail.action?docID=5138118</t>
  </si>
  <si>
    <t>Applied Multivariate Statistical Analysis: Pearson New International Edition</t>
  </si>
  <si>
    <t>Johnson, Richard A.;Wichern, Dean W.; Wichern, Dean W.</t>
  </si>
  <si>
    <t>https://ebookcentral.proquest.com/lib/fudan-ebooks/detail.action?docID=5138119</t>
  </si>
  <si>
    <t>Laboratory Experiments in Microbiology: Pearson New International Edition</t>
  </si>
  <si>
    <t>Johnson, Ted R.;Case, Christine L.; Case, Christine L.</t>
  </si>
  <si>
    <t>https://ebookcentral.proquest.com/lib/fudan-ebooks/detail.action?docID=5138120</t>
  </si>
  <si>
    <t>Philosophical Documents in Education: Pearson New International Edition</t>
  </si>
  <si>
    <t>Johnson, Tony W.;Reed, Ronald F.; Reed, Ronald F.</t>
  </si>
  <si>
    <t>https://ebookcentral.proquest.com/lib/fudan-ebooks/detail.action?docID=5138121</t>
  </si>
  <si>
    <t>Discrete Mathematics: Pearson New International Edition</t>
  </si>
  <si>
    <t>Johnsonbaugh, Richard</t>
  </si>
  <si>
    <t>https://ebookcentral.proquest.com/lib/fudan-ebooks/detail.action?docID=5138122</t>
  </si>
  <si>
    <t>Technical Communication Today: Pearson New International Edition</t>
  </si>
  <si>
    <t>Johnson-Sheehan, Richard</t>
  </si>
  <si>
    <t>https://ebookcentral.proquest.com/lib/fudan-ebooks/detail.action?docID=5138123</t>
  </si>
  <si>
    <t>Raising Children: The Primary Years</t>
  </si>
  <si>
    <t>Joshi, Liat Hughes</t>
  </si>
  <si>
    <t>https://ebookcentral.proquest.com/lib/fudan-ebooks/detail.action?docID=5138135</t>
  </si>
  <si>
    <t>Ponto de Encontro: Pearson New International Edition</t>
  </si>
  <si>
    <t>Jouet-Pastre, Clemence;Klobucka, Anna;Sobral, Patr’cia Isabel; Klobucka, Anna; Sobral, Patricia Isabel; Moreira, Maria Luci de Biaji; Hutchinson, Amelia P.</t>
  </si>
  <si>
    <t>https://ebookcentral.proquest.com/lib/fudan-ebooks/detail.action?docID=5138136</t>
  </si>
  <si>
    <t>Textiles: Pearson New International Edition</t>
  </si>
  <si>
    <t>kadolph, Sara J.; Langford, Anna L.</t>
  </si>
  <si>
    <t>Engineering: Manufacturing; Engineering</t>
  </si>
  <si>
    <t>https://ebookcentral.proquest.com/lib/fudan-ebooks/detail.action?docID=5138139</t>
  </si>
  <si>
    <t>Language and Reading Disabilities: Pearson New International Edition</t>
  </si>
  <si>
    <t>Kamhi, Alan G.;Catts, Hugh W.; Catts, Hugh W.</t>
  </si>
  <si>
    <t>https://ebookcentral.proquest.com/lib/fudan-ebooks/detail.action?docID=5138143</t>
  </si>
  <si>
    <t>Accounting Information Systems: Pearson New International Edition</t>
  </si>
  <si>
    <t>Kay, Donna;Ovlia, Ali; Ovlia, Ali</t>
  </si>
  <si>
    <t>https://ebookcentral.proquest.com/lib/fudan-ebooks/detail.action?docID=5138148</t>
  </si>
  <si>
    <t>Geology for Engineers and  Environmental Scientists:Pearson New International Edition</t>
  </si>
  <si>
    <t>Kehew, Alan E.</t>
  </si>
  <si>
    <t>https://ebookcentral.proquest.com/lib/fudan-ebooks/detail.action?docID=5138152</t>
  </si>
  <si>
    <t>Multiple Regression and Beyond: Pearson New International Edition</t>
  </si>
  <si>
    <t>Keith, Timothy Z.</t>
  </si>
  <si>
    <t>https://ebookcentral.proquest.com/lib/fudan-ebooks/detail.action?docID=5138153</t>
  </si>
  <si>
    <t>Strategic Brand Management: Global Edition</t>
  </si>
  <si>
    <t>Keller, Kevin</t>
  </si>
  <si>
    <t>https://ebookcentral.proquest.com/lib/fudan-ebooks/detail.action?docID=5138154</t>
  </si>
  <si>
    <t>Resource Guide for Teaching K-12: Pearson New International Edition</t>
  </si>
  <si>
    <t>Kellough, Richard D.</t>
  </si>
  <si>
    <t>https://ebookcentral.proquest.com/lib/fudan-ebooks/detail.action?docID=5138155</t>
  </si>
  <si>
    <t>Kenrick, Douglas;Neuberg, Steven L.;Cialdini, Robert B.; Neuberg, Steven L.; Cialdini, Professor Robert B.</t>
  </si>
  <si>
    <t>https://ebookcentral.proquest.com/lib/fudan-ebooks/detail.action?docID=5138159</t>
  </si>
  <si>
    <t>Personal Finance: Pearson New International Edition</t>
  </si>
  <si>
    <t>Keown, Arthur J</t>
  </si>
  <si>
    <t>https://ebookcentral.proquest.com/lib/fudan-ebooks/detail.action?docID=5138162</t>
  </si>
  <si>
    <t>Nonlinear Systems: Pearson New International Edition</t>
  </si>
  <si>
    <t>Khalil, Hassan K.</t>
  </si>
  <si>
    <t>https://ebookcentral.proquest.com/lib/fudan-ebooks/detail.action?docID=5138167</t>
  </si>
  <si>
    <t>Brilliant Dissertation</t>
  </si>
  <si>
    <t>Kirton, Bill</t>
  </si>
  <si>
    <t>https://ebookcentral.proquest.com/lib/fudan-ebooks/detail.action?docID=5138176</t>
  </si>
  <si>
    <t>Brilliant Study Skills</t>
  </si>
  <si>
    <t>https://ebookcentral.proquest.com/lib/fudan-ebooks/detail.action?docID=5138178</t>
  </si>
  <si>
    <t>Algorithm Design: Pearson New International Edition</t>
  </si>
  <si>
    <t>Kleinberg, Jon;Tardos, Eva; Tardos, Eva</t>
  </si>
  <si>
    <t>https://ebookcentral.proquest.com/lib/fudan-ebooks/detail.action?docID=5138180</t>
  </si>
  <si>
    <t>Digital Electronics: Pearson New International Edition</t>
  </si>
  <si>
    <t>Kleitz, William</t>
  </si>
  <si>
    <t>https://ebookcentral.proquest.com/lib/fudan-ebooks/detail.action?docID=5138182</t>
  </si>
  <si>
    <t>Physics for Scientists and Engineers: Pearson New International Edition</t>
  </si>
  <si>
    <t>Knight, Randall D.</t>
  </si>
  <si>
    <t>https://ebookcentral.proquest.com/lib/fudan-ebooks/detail.action?docID=5138186</t>
  </si>
  <si>
    <t>Student Workbook for Physics for Scientists and Engineers: Pearson New International Edition</t>
  </si>
  <si>
    <t>https://ebookcentral.proquest.com/lib/fudan-ebooks/detail.action?docID=5138187</t>
  </si>
  <si>
    <t>Student Workbook for College Physics: Pearson New International Edition</t>
  </si>
  <si>
    <t>Knight, Randall D.;Jones, Brian;Field, Stuart; Jones, Brian; Field, Stuart; Andrews, James H.</t>
  </si>
  <si>
    <t>https://ebookcentral.proquest.com/lib/fudan-ebooks/detail.action?docID=5138189</t>
  </si>
  <si>
    <t>https://ebookcentral.proquest.com/lib/fudan-ebooks/detail.action?docID=5138190</t>
  </si>
  <si>
    <t>Discrete Mathematical Structures: Pearson New International Edition</t>
  </si>
  <si>
    <t>Kolman, Bernard;Busby, Robert;Ross, Sharon C.; Busby, Robert; Ross, Sharon Cutler</t>
  </si>
  <si>
    <t>https://ebookcentral.proquest.com/lib/fudan-ebooks/detail.action?docID=5138197</t>
  </si>
  <si>
    <t>Elementary Linear Algebra with Applications: Pearson New International Edition</t>
  </si>
  <si>
    <t>Kolman, Bernard;Hill, David; Hill, David</t>
  </si>
  <si>
    <t>https://ebookcentral.proquest.com/lib/fudan-ebooks/detail.action?docID=5138198</t>
  </si>
  <si>
    <t>Introducing Psychology: Pearson New International Edition</t>
  </si>
  <si>
    <t>Kosslyn, Stephen M.;Rosenberg, Robin S; Rosenberg, Robin S.</t>
  </si>
  <si>
    <t>https://ebookcentral.proquest.com/lib/fudan-ebooks/detail.action?docID=5138199</t>
  </si>
  <si>
    <t>Developmentally Appropriate Curriculum: Pearson New International Edition</t>
  </si>
  <si>
    <t>Kostelnik, Marjorie J.;Soderman, Anne K.;Whiren, Alice P.; Soderman, Anne K.; Whiren, Alice P.</t>
  </si>
  <si>
    <t>https://ebookcentral.proquest.com/lib/fudan-ebooks/detail.action?docID=5138200</t>
  </si>
  <si>
    <t>Marketing for Hospitality and Tourism: Pearson New International Edition</t>
  </si>
  <si>
    <t>Kotler, Philip;Bowen, John T.;Makens, James</t>
  </si>
  <si>
    <t>https://ebookcentral.proquest.com/lib/fudan-ebooks/detail.action?docID=5138206</t>
  </si>
  <si>
    <t>Ecology: Pearson New International Edition</t>
  </si>
  <si>
    <t>Krebs, Charles J.</t>
  </si>
  <si>
    <t>https://ebookcentral.proquest.com/lib/fudan-ebooks/detail.action?docID=5138211</t>
  </si>
  <si>
    <t>Statistics and Data Analysis for Social Science: Pearson New International Edition</t>
  </si>
  <si>
    <t>Krieg, Eric  J.</t>
  </si>
  <si>
    <t>https://ebookcentral.proquest.com/lib/fudan-ebooks/detail.action?docID=5138212</t>
  </si>
  <si>
    <t>Computer Networking: A Top-Down Approach: International Edition</t>
  </si>
  <si>
    <t>Kurose, James F.;Ross, Keith W.</t>
  </si>
  <si>
    <t>https://ebookcentral.proquest.com/lib/fudan-ebooks/detail.action?docID=5138229</t>
  </si>
  <si>
    <t>How to Use Statistics</t>
  </si>
  <si>
    <t>Lakin, Steve</t>
  </si>
  <si>
    <t>https://ebookcentral.proquest.com/lib/fudan-ebooks/detail.action?docID=5138233</t>
  </si>
  <si>
    <t>Introduction to Nuclear Engineering: Pearson New International Edition</t>
  </si>
  <si>
    <t>Lamarsh, John R.;Baratta, Anthony J.; Baratta, Anthony J.</t>
  </si>
  <si>
    <t>https://ebookcentral.proquest.com/lib/fudan-ebooks/detail.action?docID=5138235</t>
  </si>
  <si>
    <t>Organic Structural Spectroscopy: Pearson New International Edition</t>
  </si>
  <si>
    <t>Lambert, Joseph B.;Gronert, Scott;Shurvell, Herbert F.; Gronert, Scott; Shurvell, Herbert F.; Lightner, David A.; Cooks, Robert Graham</t>
  </si>
  <si>
    <t>https://ebookcentral.proquest.com/lib/fudan-ebooks/detail.action?docID=5138236</t>
  </si>
  <si>
    <t>Introduction to Research Methods and Data Analysis in Psychology 3rd edn : UEL</t>
  </si>
  <si>
    <t>Langdridge, Darren;Hagger-Johnson, Gareth; Hagger-Johnson, Gareth</t>
  </si>
  <si>
    <t>https://ebookcentral.proquest.com/lib/fudan-ebooks/detail.action?docID=5138239</t>
  </si>
  <si>
    <t>Introduction to Mathematical Statistics and Its Applications: Pearson New International Edition</t>
  </si>
  <si>
    <t>Larsen, Richard J.;Marx, Morris L.; Marx, Morris L.</t>
  </si>
  <si>
    <t>https://ebookcentral.proquest.com/lib/fudan-ebooks/detail.action?docID=5138244</t>
  </si>
  <si>
    <t>Management Information Systems, Global Edition</t>
  </si>
  <si>
    <t>Laudon, Kenneth;Laudon, Jane P.</t>
  </si>
  <si>
    <t>https://ebookcentral.proquest.com/lib/fudan-ebooks/detail.action?docID=5138251</t>
  </si>
  <si>
    <t>Analysis with an Introduction to Proof: Pearson New International Edition</t>
  </si>
  <si>
    <t>Lay, Steven R.</t>
  </si>
  <si>
    <t>https://ebookcentral.proquest.com/lib/fudan-ebooks/detail.action?docID=5138255</t>
  </si>
  <si>
    <t>Psychology of Success : Secrets of serial achievement</t>
  </si>
  <si>
    <t>Leary-Joyce, Judith</t>
  </si>
  <si>
    <t>https://ebookcentral.proquest.com/lib/fudan-ebooks/detail.action?docID=5138257</t>
  </si>
  <si>
    <t>Just the Job! : Smart and fast strategies to get the perfect job</t>
  </si>
  <si>
    <t>https://ebookcentral.proquest.com/lib/fudan-ebooks/detail.action?docID=5138261</t>
  </si>
  <si>
    <t>Elementary Statistics in Social Research: Pearson New International Edition</t>
  </si>
  <si>
    <t>Levin, Jack A.;Fox, James Alan; Fox, James Alan</t>
  </si>
  <si>
    <t>https://ebookcentral.proquest.com/lib/fudan-ebooks/detail.action?docID=5138267</t>
  </si>
  <si>
    <t>Calculus with Applications: Pearson New International Edition</t>
  </si>
  <si>
    <t>Lial, Margaret;Greenwell, Raymond N.;Ritchey, Nathan P.</t>
  </si>
  <si>
    <t>https://ebookcentral.proquest.com/lib/fudan-ebooks/detail.action?docID=5138277</t>
  </si>
  <si>
    <t>Finite Mathematics and Calculus with Applications: Pearson New International Edition</t>
  </si>
  <si>
    <t>Lial, Margaret;Greenwell, Raymond N.;Ritchey, Nathan P.; Greenwell, Raymond N.; Ritchey, Nathan P.</t>
  </si>
  <si>
    <t>https://ebookcentral.proquest.com/lib/fudan-ebooks/detail.action?docID=5138278</t>
  </si>
  <si>
    <t>Lial, Margaret;Hornsby, John;McGinnis, Terry; Hornsby, John; McGinnis, Terry</t>
  </si>
  <si>
    <t>https://ebookcentral.proquest.com/lib/fudan-ebooks/detail.action?docID=5138279</t>
  </si>
  <si>
    <t>Introductory Algebra: Pearson New International Edition</t>
  </si>
  <si>
    <t>https://ebookcentral.proquest.com/lib/fudan-ebooks/detail.action?docID=5138280</t>
  </si>
  <si>
    <t>Beginning Algebra: Pearson New International Edition</t>
  </si>
  <si>
    <t>https://ebookcentral.proquest.com/lib/fudan-ebooks/detail.action?docID=5138281</t>
  </si>
  <si>
    <t>Beginning and Intermediate Algebra: Pearson New International Edition</t>
  </si>
  <si>
    <t>https://ebookcentral.proquest.com/lib/fudan-ebooks/detail.action?docID=5138282</t>
  </si>
  <si>
    <t>Lial, Margaret;Hornsby, John;Schneider, David I.</t>
  </si>
  <si>
    <t>https://ebookcentral.proquest.com/lib/fudan-ebooks/detail.action?docID=5138284</t>
  </si>
  <si>
    <t>https://ebookcentral.proquest.com/lib/fudan-ebooks/detail.action?docID=5138285</t>
  </si>
  <si>
    <t>Lial, Margaret;Hornsby, John;Schneider, David I.; Hornsby, John; Schneider, David I.; Daniels, Callie J.</t>
  </si>
  <si>
    <t>https://ebookcentral.proquest.com/lib/fudan-ebooks/detail.action?docID=5138286</t>
  </si>
  <si>
    <t>Essentials of College Algebra: Pearson New International Edition</t>
  </si>
  <si>
    <t>https://ebookcentral.proquest.com/lib/fudan-ebooks/detail.action?docID=5138287</t>
  </si>
  <si>
    <t>https://ebookcentral.proquest.com/lib/fudan-ebooks/detail.action?docID=5138288</t>
  </si>
  <si>
    <t>Emergency Care: Pearson New International Edition</t>
  </si>
  <si>
    <t>Limmer, Daniel J.;O'Keefe, Michael F.;Grant, Harvey T.</t>
  </si>
  <si>
    <t>https://ebookcentral.proquest.com/lib/fudan-ebooks/detail.action?docID=5138295</t>
  </si>
  <si>
    <t>Psychology Express: Cognitive Psychology (Undergraduate Revision Guide)</t>
  </si>
  <si>
    <t>Ling, Jonathan;Catling, Jonathan;Upton, Dominic; Catling, Jonathan; Upton, Dominic</t>
  </si>
  <si>
    <t>https://ebookcentral.proquest.com/lib/fudan-ebooks/detail.action?docID=5138296</t>
  </si>
  <si>
    <t>Secrets of Success in Marketing : 20 ways to accelerate your marketing performance</t>
  </si>
  <si>
    <t>Linton, Ian</t>
  </si>
  <si>
    <t>https://ebookcentral.proquest.com/lib/fudan-ebooks/detail.action?docID=5138297</t>
  </si>
  <si>
    <t>Brilliant Life Coach 2e : 10 Inspirational Steps to Transform Your Life</t>
  </si>
  <si>
    <t>Lionnet, Annie</t>
  </si>
  <si>
    <t>https://ebookcentral.proquest.com/lib/fudan-ebooks/detail.action?docID=5138298</t>
  </si>
  <si>
    <t>Brilliant Relationships 2e : Your ultimate guide to attracting and keeping the perfect partner</t>
  </si>
  <si>
    <t>https://ebookcentral.proquest.com/lib/fudan-ebooks/detail.action?docID=5138299</t>
  </si>
  <si>
    <t>Industrial Organization</t>
  </si>
  <si>
    <t>Lipczynski, John;Wilson, John O.S.;Goddard, John; Wilson, John O. S.; Goddard, John</t>
  </si>
  <si>
    <t>https://ebookcentral.proquest.com/lib/fudan-ebooks/detail.action?docID=5138300</t>
  </si>
  <si>
    <t>Pettet's Company Law</t>
  </si>
  <si>
    <t>Lowry, John;Reisberg, Arad; Reisberg, Arad</t>
  </si>
  <si>
    <t>https://ebookcentral.proquest.com/lib/fudan-ebooks/detail.action?docID=5138306</t>
  </si>
  <si>
    <t>Atmosphere: Pearson New International Edition</t>
  </si>
  <si>
    <t>Lutgens, Frederick K;Tarbuck, Edward J.;Tasa, Dennis G.; Tarbuck, Edward J.; Tasa, Dennis</t>
  </si>
  <si>
    <t>https://ebookcentral.proquest.com/lib/fudan-ebooks/detail.action?docID=5138310</t>
  </si>
  <si>
    <t>Essentials of Children's Literature: Pearson New International Edition</t>
  </si>
  <si>
    <t>Lynch-Brown, Carol M.;Tomlinson, Carl M.;Short, Kathy G; Tomlinson, Carl M.; Short, Kathy G.</t>
  </si>
  <si>
    <t>https://ebookcentral.proquest.com/lib/fudan-ebooks/detail.action?docID=5138313</t>
  </si>
  <si>
    <t>Law Express: Scottish Business Law (Revision guide)</t>
  </si>
  <si>
    <t>MacIntyre, Ewan;Bisacre, Josephine; Bisacre, Josephine</t>
  </si>
  <si>
    <t>https://ebookcentral.proquest.com/lib/fudan-ebooks/detail.action?docID=5138320</t>
  </si>
  <si>
    <t>Study Skills for Art, Design and Media Students</t>
  </si>
  <si>
    <t>Mann, Stewart</t>
  </si>
  <si>
    <t>https://ebookcentral.proquest.com/lib/fudan-ebooks/detail.action?docID=5138329</t>
  </si>
  <si>
    <t>Classroom Management: Pearson New International Edition</t>
  </si>
  <si>
    <t>Manning, M. Lee;Bucher, Katherine T.; Bucher, Katherine T.</t>
  </si>
  <si>
    <t>https://ebookcentral.proquest.com/lib/fudan-ebooks/detail.action?docID=5138331</t>
  </si>
  <si>
    <t>Anatomy and Physiology Coloring Workbook: Pearson New International Edition</t>
  </si>
  <si>
    <t>Marieb, Elaine N</t>
  </si>
  <si>
    <t>https://ebookcentral.proquest.com/lib/fudan-ebooks/detail.action?docID=5138335</t>
  </si>
  <si>
    <t>Human Anatomy &amp; Physiology Laboratory Manual, Main Version: Pearson New International Edition</t>
  </si>
  <si>
    <t>Marieb, Elaine N.;Mitchell, Susan J;Smith, Lori A</t>
  </si>
  <si>
    <t>https://ebookcentral.proquest.com/lib/fudan-ebooks/detail.action?docID=5138336</t>
  </si>
  <si>
    <t>Human Anatomy: Pearson New International Edition</t>
  </si>
  <si>
    <t>Marieb, Elaine N.;Wilhelm, Patricia Brady;Mallatt, Jon B.; Mallatt, Jon B.; Wilhelm, Patricia Brady</t>
  </si>
  <si>
    <t>https://ebookcentral.proquest.com/lib/fudan-ebooks/detail.action?docID=5138337</t>
  </si>
  <si>
    <t>Short Guide to Writing about History: Pearson New International Edition</t>
  </si>
  <si>
    <t>Marius, Richard A.;Page, Melvin E.</t>
  </si>
  <si>
    <t>https://ebookcentral.proquest.com/lib/fudan-ebooks/detail.action?docID=5138342</t>
  </si>
  <si>
    <t>Educational Psychology : The impact of psychological research on education</t>
  </si>
  <si>
    <t>Marks Woolfson, Lisa</t>
  </si>
  <si>
    <t>https://ebookcentral.proquest.com/lib/fudan-ebooks/detail.action?docID=5138343</t>
  </si>
  <si>
    <t>Psychology : UEL</t>
  </si>
  <si>
    <t>Martin, G. Neil;Carlson, Neil R.;Buskist, William; Carlson, Neil R; Buskist, Dr William</t>
  </si>
  <si>
    <t>https://ebookcentral.proquest.com/lib/fudan-ebooks/detail.action?docID=5138349</t>
  </si>
  <si>
    <t>Teaching Science for All Children: Pearson New International Edition</t>
  </si>
  <si>
    <t>Martin, Ralph;Sexton, Colleen;Franklin, Teresa; Sexton, Colleen; Franklin, Teresa; Gerlovich, Jack; McElroy, Dennis</t>
  </si>
  <si>
    <t>https://ebookcentral.proquest.com/lib/fudan-ebooks/detail.action?docID=5138350</t>
  </si>
  <si>
    <t>Beginning &amp; Intermediate Algebra: Pearson New International Edition</t>
  </si>
  <si>
    <t>Martin-Gay, Elayn</t>
  </si>
  <si>
    <t>https://ebookcentral.proquest.com/lib/fudan-ebooks/detail.action?docID=5138352</t>
  </si>
  <si>
    <t>https://ebookcentral.proquest.com/lib/fudan-ebooks/detail.action?docID=5138353</t>
  </si>
  <si>
    <t>Martini, Frederic H.;Timmons, Michael J.;Tallitsch, Robert B.; Timmons, Michael J.; Tallitsch, Robert B.</t>
  </si>
  <si>
    <t>https://ebookcentral.proquest.com/lib/fudan-ebooks/detail.action?docID=5138356</t>
  </si>
  <si>
    <t>Thinking Mathematically</t>
  </si>
  <si>
    <t>Mason, J.;Burton, L.;Stacey, K.; Burton, L.; Stacey, Kaye</t>
  </si>
  <si>
    <t>https://ebookcentral.proquest.com/lib/fudan-ebooks/detail.action?docID=5138358</t>
  </si>
  <si>
    <t>Exploring Constitutional and Administrative Law</t>
  </si>
  <si>
    <t>Masterman, Roger;Murray, Colin; Murray, Colin</t>
  </si>
  <si>
    <t>https://ebookcentral.proquest.com/lib/fudan-ebooks/detail.action?docID=5138359</t>
  </si>
  <si>
    <t>Introduction to Environmental Engineering and Science: Pearson New International Edition</t>
  </si>
  <si>
    <t>Masters, Gilbert M.;Ela, Wendell P.; Ela, Wendell P.</t>
  </si>
  <si>
    <t>https://ebookcentral.proquest.com/lib/fudan-ebooks/detail.action?docID=5138360</t>
  </si>
  <si>
    <t>Project Management</t>
  </si>
  <si>
    <t>Maylor, Harvey</t>
  </si>
  <si>
    <t>https://ebookcentral.proquest.com/lib/fudan-ebooks/detail.action?docID=5138363</t>
  </si>
  <si>
    <t>Peer Instruction: Pearson New International Edition</t>
  </si>
  <si>
    <t>Mazur, Eric</t>
  </si>
  <si>
    <t>https://ebookcentral.proquest.com/lib/fudan-ebooks/detail.action?docID=5138367</t>
  </si>
  <si>
    <t>First Course in Statistics, A: Pearson New International Edition</t>
  </si>
  <si>
    <t>McClave, James T;Sincich, Terry; Sincich, Terry T.</t>
  </si>
  <si>
    <t>https://ebookcentral.proquest.com/lib/fudan-ebooks/detail.action?docID=5138375</t>
  </si>
  <si>
    <t>Structural Steel Design : International Edition</t>
  </si>
  <si>
    <t>McCormac, Jack C.;Csernak, Stephen F.</t>
  </si>
  <si>
    <t>https://ebookcentral.proquest.com/lib/fudan-ebooks/detail.action?docID=5138376</t>
  </si>
  <si>
    <t>Instructing Students Who Have Literacy Problems: Pearson New International Edition</t>
  </si>
  <si>
    <t>McCormick, Sandra;Zutell, Jerry; Zutell, Jerry</t>
  </si>
  <si>
    <t>https://ebookcentral.proquest.com/lib/fudan-ebooks/detail.action?docID=5138377</t>
  </si>
  <si>
    <t>Child Development and Education: Pearson New International Edition</t>
  </si>
  <si>
    <t>McDevitt, Teresa M.;Ormrod, Jeanne Ellis; Ormrod, Jeanne Ellis</t>
  </si>
  <si>
    <t>https://ebookcentral.proquest.com/lib/fudan-ebooks/detail.action?docID=5138378</t>
  </si>
  <si>
    <t>Animal Nutrition</t>
  </si>
  <si>
    <t>McDonald, Peter;Greenhalgh, J.F.D.;Morgan, C A; Greenhalgh, J. F. D.; Morgan, C.A.; Edwards, R.; Sinclair, Liam; Wilkinson, Robert</t>
  </si>
  <si>
    <t>https://ebookcentral.proquest.com/lib/fudan-ebooks/detail.action?docID=5138380</t>
  </si>
  <si>
    <t>Derivatives Markets: Pearson New International Edition</t>
  </si>
  <si>
    <t>McDonald, Robert L.</t>
  </si>
  <si>
    <t>https://ebookcentral.proquest.com/lib/fudan-ebooks/detail.action?docID=5138381</t>
  </si>
  <si>
    <t>Expanded Family Life Cycle, The: Pearson New International Edition</t>
  </si>
  <si>
    <t>McGoldrick, Monica;Carter, Betty;Garcia Preto, Nydia A.; Garcia-Preto, Nydia A.; Carter, Betty</t>
  </si>
  <si>
    <t>https://ebookcentral.proquest.com/lib/fudan-ebooks/detail.action?docID=5138383</t>
  </si>
  <si>
    <t>Quantum Mechanics: Pearson New International Edition</t>
  </si>
  <si>
    <t>McIntyre, David;Manogue, Corinne A;Tate, Janet; Manogue, Corinne A.; Tate, Janet</t>
  </si>
  <si>
    <t>https://ebookcentral.proquest.com/lib/fudan-ebooks/detail.action?docID=5138386</t>
  </si>
  <si>
    <t>Legal English : How to Understand and Master the Language of Law</t>
  </si>
  <si>
    <t>McKay, William;Charlton, Helen Elizabeth;Barsoum, Grant; Charlton, Helen Elizabeth; Barsoum, Grant</t>
  </si>
  <si>
    <t>Law; Language/Linguistics</t>
  </si>
  <si>
    <t>https://ebookcentral.proquest.com/lib/fudan-ebooks/detail.action?docID=5138387</t>
  </si>
  <si>
    <t>Classroom Assessment: Pearson New International Edition</t>
  </si>
  <si>
    <t>McMillan, James H.</t>
  </si>
  <si>
    <t>https://ebookcentral.proquest.com/lib/fudan-ebooks/detail.action?docID=5138397</t>
  </si>
  <si>
    <t>McMillan, James H.;Schumacher, Sally; Schumacher, Sally</t>
  </si>
  <si>
    <t>https://ebookcentral.proquest.com/lib/fudan-ebooks/detail.action?docID=5138398</t>
  </si>
  <si>
    <t>How to Succeed in Exams &amp; Assessments</t>
  </si>
  <si>
    <t>McMillan, Kathleen;Weyers, Jonathan; McMillan, Kathleen</t>
  </si>
  <si>
    <t>https://ebookcentral.proquest.com/lib/fudan-ebooks/detail.action?docID=5138401</t>
  </si>
  <si>
    <t>How to Write Dissertations &amp; Project Reports</t>
  </si>
  <si>
    <t>McMillan, Kathleen;Weyers, Jonathan</t>
  </si>
  <si>
    <t>https://ebookcentral.proquest.com/lib/fudan-ebooks/detail.action?docID=5138402</t>
  </si>
  <si>
    <t>How to Write Essays &amp; Assignments : UEL</t>
  </si>
  <si>
    <t>https://ebookcentral.proquest.com/lib/fudan-ebooks/detail.action?docID=5138403</t>
  </si>
  <si>
    <t>How to Cite, Reference &amp; Avoid Plagiarism at University</t>
  </si>
  <si>
    <t>McMillan, Kathleen;Weyers, Jonathan; Weyers, Jonathan D B</t>
  </si>
  <si>
    <t>https://ebookcentral.proquest.com/lib/fudan-ebooks/detail.action?docID=5138404</t>
  </si>
  <si>
    <t>How to Research &amp; Write a Successful PhD</t>
  </si>
  <si>
    <t>McMillan, Kathleen;Weyers, Jonathan; Weyers, Jonathan</t>
  </si>
  <si>
    <t>https://ebookcentral.proquest.com/lib/fudan-ebooks/detail.action?docID=5138406</t>
  </si>
  <si>
    <t>Fundamentals of General, Organic, and Biological Chemistry: Pearson New International Edition</t>
  </si>
  <si>
    <t>McMurry, John E.;Hoeger, Carl A.;Peterson, Virginia E.</t>
  </si>
  <si>
    <t>https://ebookcentral.proquest.com/lib/fudan-ebooks/detail.action?docID=5138410</t>
  </si>
  <si>
    <t>Information Systems Management: Pearson New International Edition</t>
  </si>
  <si>
    <t>McNurlin, Barbara;Sprague, Ralph;Bui, Tung; Sprague, Ralph H.; Bui, Tung</t>
  </si>
  <si>
    <t>https://ebookcentral.proquest.com/lib/fudan-ebooks/detail.action?docID=5138411</t>
  </si>
  <si>
    <t>Second Course in Statistics: Pearson New International Edition</t>
  </si>
  <si>
    <t>Mendenhall, William;Sincich, Terry; Sincich, Terry T.</t>
  </si>
  <si>
    <t>https://ebookcentral.proquest.com/lib/fudan-ebooks/detail.action?docID=5138419</t>
  </si>
  <si>
    <t>Psychology Express: Social Psychology</t>
  </si>
  <si>
    <t>Mercer, Jenny;Clayton, Deborah;Upton, Dominic; Clayton, Deborah; Upton, Dominic</t>
  </si>
  <si>
    <t>https://ebookcentral.proquest.com/lib/fudan-ebooks/detail.action?docID=5138421</t>
  </si>
  <si>
    <t>Case Studies in Abnormal Behavior: Pearson New International Edition</t>
  </si>
  <si>
    <t>Meyer, Robert G.;Weaver, Christopher M.; Weaver, Christopher M.</t>
  </si>
  <si>
    <t>https://ebookcentral.proquest.com/lib/fudan-ebooks/detail.action?docID=5138423</t>
  </si>
  <si>
    <t>Inorganic Chemistry: Pearson New International Edition</t>
  </si>
  <si>
    <t>Miessler, Gary L.;Fischer, Paul J.;Tarr, Donald A.; Fischer, Paul J.; Tarr, Donald A.</t>
  </si>
  <si>
    <t>https://ebookcentral.proquest.com/lib/fudan-ebooks/detail.action?docID=5138424</t>
  </si>
  <si>
    <t>Generalist Social Work Practice: Pearson New International Edition</t>
  </si>
  <si>
    <t>Miley, Karla Krogsrud;O'Melia, Michael W.;DuBois, Brenda L.; O'Melia, Michael W.; DuBois, Brenda L.</t>
  </si>
  <si>
    <t>https://ebookcentral.proquest.com/lib/fudan-ebooks/detail.action?docID=5138425</t>
  </si>
  <si>
    <t>John E. Freund's Mathematical Statistics with Applications: Pearson New International Edition</t>
  </si>
  <si>
    <t>Miller, Irwin;Miller, Marylees; Miller, Marylees</t>
  </si>
  <si>
    <t>https://ebookcentral.proquest.com/lib/fudan-ebooks/detail.action?docID=5138428</t>
  </si>
  <si>
    <t>Economics Today: Pearson New International Edition</t>
  </si>
  <si>
    <t>Miller, Roger LeRoy</t>
  </si>
  <si>
    <t>https://ebookcentral.proquest.com/lib/fudan-ebooks/detail.action?docID=5138430</t>
  </si>
  <si>
    <t>https://ebookcentral.proquest.com/lib/fudan-ebooks/detail.action?docID=5138431</t>
  </si>
  <si>
    <t>Action Research: Pearson New International Edition</t>
  </si>
  <si>
    <t>Mills, Geoffrey E.</t>
  </si>
  <si>
    <t>https://ebookcentral.proquest.com/lib/fudan-ebooks/detail.action?docID=5138434</t>
  </si>
  <si>
    <t>Personality Psychology: Pearson New International Edition</t>
  </si>
  <si>
    <t>Miserandino, Marianne</t>
  </si>
  <si>
    <t>https://ebookcentral.proquest.com/lib/fudan-ebooks/detail.action?docID=5138439</t>
  </si>
  <si>
    <t>Prehospital Emergency Care: Pearson New International Edition</t>
  </si>
  <si>
    <t>Mistovich, Joseph J.;Karren, Keith J.;Hafen, Brent; Karren, Keith J.; Hafen, Brent Q.</t>
  </si>
  <si>
    <t>https://ebookcentral.proquest.com/lib/fudan-ebooks/detail.action?docID=5138444</t>
  </si>
  <si>
    <t>School and Community Relations, The: Pearson New International Edition</t>
  </si>
  <si>
    <t>Moore, Edward H.;Bagin, Don H.;Gallagher, Donald R.</t>
  </si>
  <si>
    <t>https://ebookcentral.proquest.com/lib/fudan-ebooks/detail.action?docID=5138456</t>
  </si>
  <si>
    <t>Principles of Biochemistry: Pearson New International Edition</t>
  </si>
  <si>
    <t>Moran, Laurence A;Horton, Robert A;Scrimgeour, Gray; Horton, Robert A.; Scrimgeour, Gray; Perry, Marc; Rawn, David</t>
  </si>
  <si>
    <t>https://ebookcentral.proquest.com/lib/fudan-ebooks/detail.action?docID=5138457</t>
  </si>
  <si>
    <t>Understanding Psychology: Pearson New International Edition</t>
  </si>
  <si>
    <t>Morris, Charles G.;Maisto, Albert A.; Maisto, Albert A</t>
  </si>
  <si>
    <t>https://ebookcentral.proquest.com/lib/fudan-ebooks/detail.action?docID=5138459</t>
  </si>
  <si>
    <t>Greeks, The: Pearson New International Edition</t>
  </si>
  <si>
    <t>Morris, Ian;Powell, Barry B.; Powell, Barry B.</t>
  </si>
  <si>
    <t>https://ebookcentral.proquest.com/lib/fudan-ebooks/detail.action?docID=5138462</t>
  </si>
  <si>
    <t>Literacy Development in the Early Years: Pearson New International Edition</t>
  </si>
  <si>
    <t>Morrow, Lesley Mandel</t>
  </si>
  <si>
    <t>https://ebookcentral.proquest.com/lib/fudan-ebooks/detail.action?docID=5138465</t>
  </si>
  <si>
    <t>Principles of Animal Physiology: Pearson New International Edition</t>
  </si>
  <si>
    <t>Moyes, Christopher D.;Schulte, Patricia M.; Schulte, Patricia M.</t>
  </si>
  <si>
    <t>https://ebookcentral.proquest.com/lib/fudan-ebooks/detail.action?docID=5138469</t>
  </si>
  <si>
    <t>Hospitality Management and Organisational Behaviour</t>
  </si>
  <si>
    <t>Mullins, Laurie J.;Dossor, Penny; Dosser, Penny</t>
  </si>
  <si>
    <t>Tourism/Hospitality</t>
  </si>
  <si>
    <t>https://ebookcentral.proquest.com/lib/fudan-ebooks/detail.action?docID=5138472</t>
  </si>
  <si>
    <t>Topology: Pearson New International Edition</t>
  </si>
  <si>
    <t>Munkres, James</t>
  </si>
  <si>
    <t>https://ebookcentral.proquest.com/lib/fudan-ebooks/detail.action?docID=5138474</t>
  </si>
  <si>
    <t>Guide to Managerial Communication: Pearson New International Edition</t>
  </si>
  <si>
    <t>Munter, Mary M.;Hamilton, Lynn; Hamilton, Lynn</t>
  </si>
  <si>
    <t>https://ebookcentral.proquest.com/lib/fudan-ebooks/detail.action?docID=5138475</t>
  </si>
  <si>
    <t>Fundamentals of Differential Equations: Pearson New International EditionEdition</t>
  </si>
  <si>
    <t>Nagle, R Kent;Saff, Edward B.;Snider, Arthur David; Saff, Edward B.; Snider, Arthur David</t>
  </si>
  <si>
    <t>https://ebookcentral.proquest.com/lib/fudan-ebooks/detail.action?docID=5138485</t>
  </si>
  <si>
    <t>Employment Law for Business Students</t>
  </si>
  <si>
    <t>Nairns, Janice</t>
  </si>
  <si>
    <t>https://ebookcentral.proquest.com/lib/fudan-ebooks/detail.action?docID=5138489</t>
  </si>
  <si>
    <t>Artificial Intelligence : A Guide to Intelligent Systems</t>
  </si>
  <si>
    <t>Negnevitsky, Michael</t>
  </si>
  <si>
    <t>https://ebookcentral.proquest.com/lib/fudan-ebooks/detail.action?docID=5138491</t>
  </si>
  <si>
    <t>Greenhouse Operation and Management: Pearson New International Edition</t>
  </si>
  <si>
    <t>Nelson, Paul V.</t>
  </si>
  <si>
    <t>https://ebookcentral.proquest.com/lib/fudan-ebooks/detail.action?docID=5138492</t>
  </si>
  <si>
    <t>Calculus For Biology and Medicine: Pearson New International Edition</t>
  </si>
  <si>
    <t>Neuhauser, Claudia</t>
  </si>
  <si>
    <t>https://ebookcentral.proquest.com/lib/fudan-ebooks/detail.action?docID=5138493</t>
  </si>
  <si>
    <t>Basics of Social Research: Pearson New International Edition</t>
  </si>
  <si>
    <t>Neuman, Lawrence W</t>
  </si>
  <si>
    <t>https://ebookcentral.proquest.com/lib/fudan-ebooks/detail.action?docID=5138494</t>
  </si>
  <si>
    <t>Understanding Research: Pearson New International Edition</t>
  </si>
  <si>
    <t>Neuman, W. Lawrence</t>
  </si>
  <si>
    <t>https://ebookcentral.proquest.com/lib/fudan-ebooks/detail.action?docID=5138496</t>
  </si>
  <si>
    <t>Construction Methods and Management: Pearson New International Edition</t>
  </si>
  <si>
    <t>Nunnally, Stephens W.</t>
  </si>
  <si>
    <t>https://ebookcentral.proquest.com/lib/fudan-ebooks/detail.action?docID=5138510</t>
  </si>
  <si>
    <t>Understanding Global Conflict and Cooperation: Pearson New International Edition</t>
  </si>
  <si>
    <t>Nye, Joseph S.;Welch, David A.; Welch, David A.</t>
  </si>
  <si>
    <t>https://ebookcentral.proquest.com/lib/fudan-ebooks/detail.action?docID=5138511</t>
  </si>
  <si>
    <t>System Dynamics: Pearson New International Edition</t>
  </si>
  <si>
    <t>Ogata, Katsuhiko</t>
  </si>
  <si>
    <t>https://ebookcentral.proquest.com/lib/fudan-ebooks/detail.action?docID=5138521</t>
  </si>
  <si>
    <t>Essentials of Educational Psychology: Pearson New International Edition</t>
  </si>
  <si>
    <t>https://ebookcentral.proquest.com/lib/fudan-ebooks/detail.action?docID=5138529</t>
  </si>
  <si>
    <t>Curriculum: Pearson New International Edition</t>
  </si>
  <si>
    <t>Ornstein, Allan C.;Hunkins, Francis P.</t>
  </si>
  <si>
    <t>https://ebookcentral.proquest.com/lib/fudan-ebooks/detail.action?docID=5138533</t>
  </si>
  <si>
    <t>Assessing Learners with Special Needs: Pearson New International Edition</t>
  </si>
  <si>
    <t>Overton, Terry</t>
  </si>
  <si>
    <t>https://ebookcentral.proquest.com/lib/fudan-ebooks/detail.action?docID=5138537</t>
  </si>
  <si>
    <t>Social Studies in Elementary Education: Pearson New International Edition</t>
  </si>
  <si>
    <t>Parker, Walter C.</t>
  </si>
  <si>
    <t>https://ebookcentral.proquest.com/lib/fudan-ebooks/detail.action?docID=5138551</t>
  </si>
  <si>
    <t>Understanding Race and Ethnic Relations: Pearson New International Edition</t>
  </si>
  <si>
    <t>Parrillo, Vincent N.</t>
  </si>
  <si>
    <t>https://ebookcentral.proquest.com/lib/fudan-ebooks/detail.action?docID=5138556</t>
  </si>
  <si>
    <t>Strangers to these Shores, Census Update</t>
  </si>
  <si>
    <t>https://ebookcentral.proquest.com/lib/fudan-ebooks/detail.action?docID=5138557</t>
  </si>
  <si>
    <t>Critical Thinking: Pearson New International Edition</t>
  </si>
  <si>
    <t>Paul, Richard;Elder, Linda; Elder, Linda</t>
  </si>
  <si>
    <t>https://ebookcentral.proquest.com/lib/fudan-ebooks/detail.action?docID=5138559</t>
  </si>
  <si>
    <t>Introduction to Optics: Pearson New International Edition</t>
  </si>
  <si>
    <t>Pedrotti, Frank L;Pedrotti, Leno M;Pedrotti, Leno S; Pedrotti, Leno M.; Pedrotti, Leno S.</t>
  </si>
  <si>
    <t>https://ebookcentral.proquest.com/lib/fudan-ebooks/detail.action?docID=5138565</t>
  </si>
  <si>
    <t>Mineralogy: Pearson New International Edition</t>
  </si>
  <si>
    <t>Perkins, Dexter</t>
  </si>
  <si>
    <t>https://ebookcentral.proquest.com/lib/fudan-ebooks/detail.action?docID=5138571</t>
  </si>
  <si>
    <t>Microeconomics with Calculus, Global Edition</t>
  </si>
  <si>
    <t>Perloff, Jeffrey</t>
  </si>
  <si>
    <t>https://ebookcentral.proquest.com/lib/fudan-ebooks/detail.action?docID=5138572</t>
  </si>
  <si>
    <t>Construction Accounting &amp; Financial Management: Pearson New International Edition</t>
  </si>
  <si>
    <t>Peterson, Stephen</t>
  </si>
  <si>
    <t>https://ebookcentral.proquest.com/lib/fudan-ebooks/detail.action?docID=5138577</t>
  </si>
  <si>
    <t>Signals, Systems, and Transforms: Pearson New International Edition</t>
  </si>
  <si>
    <t>Phillips, Charles L.;Parr, John;Riskin, Eve</t>
  </si>
  <si>
    <t>https://ebookcentral.proquest.com/lib/fudan-ebooks/detail.action?docID=5138579</t>
  </si>
  <si>
    <t>Aircraft Flight</t>
  </si>
  <si>
    <t>Philpott, D.R.;Barnard, R.H.; Philpott, D.R.</t>
  </si>
  <si>
    <t>Engineering; Engineering: General; Engineering: Mechanical</t>
  </si>
  <si>
    <t>https://ebookcentral.proquest.com/lib/fudan-ebooks/detail.action?docID=5138583</t>
  </si>
  <si>
    <t>People Resourcing and Talent Planning : HRM In Practice</t>
  </si>
  <si>
    <t>Pilbeam, Stephen;Corbridge, Marjorie; Corbridge, Marjorie</t>
  </si>
  <si>
    <t>https://ebookcentral.proquest.com/lib/fudan-ebooks/detail.action?docID=5138586</t>
  </si>
  <si>
    <t>Critical Reading Critical Thinking: Pearson New International Edition</t>
  </si>
  <si>
    <t>Pirozzi, Richard;Starks-Martin, Gretchen;Dziewisz, Julie</t>
  </si>
  <si>
    <t>https://ebookcentral.proquest.com/lib/fudan-ebooks/detail.action?docID=5138591</t>
  </si>
  <si>
    <t>Study Skills: Pearson New International Edition</t>
  </si>
  <si>
    <t>Piscitelli, Steve</t>
  </si>
  <si>
    <t>https://ebookcentral.proquest.com/lib/fudan-ebooks/detail.action?docID=5138592</t>
  </si>
  <si>
    <t>Foundations of Clinical Research: Pearson New International Edition</t>
  </si>
  <si>
    <t>Portney, Leslie Gross;Watkins, Mary P.; Watkins, Mary P.</t>
  </si>
  <si>
    <t>https://ebookcentral.proquest.com/lib/fudan-ebooks/detail.action?docID=5138604</t>
  </si>
  <si>
    <t>Psychology Express: Biological Psychology (Undergraduate Revision Guide)</t>
  </si>
  <si>
    <t>Preece, Emma;Upton, Dominic; Silber, Kevin; Upton, Dominic</t>
  </si>
  <si>
    <t>Science: Biology/Natural History; Science: Anatomy/Physiology; Science</t>
  </si>
  <si>
    <t>https://ebookcentral.proquest.com/lib/fudan-ebooks/detail.action?docID=5138606</t>
  </si>
  <si>
    <t>Managerial Accounting</t>
  </si>
  <si>
    <t>Proctor, Ray</t>
  </si>
  <si>
    <t>https://ebookcentral.proquest.com/lib/fudan-ebooks/detail.action?docID=5138612</t>
  </si>
  <si>
    <t>Engineering Fundamentals of the Internal Combustion Engine: Pearson New International Edition</t>
  </si>
  <si>
    <t>Pulkrabek, Willard W.</t>
  </si>
  <si>
    <t>https://ebookcentral.proquest.com/lib/fudan-ebooks/detail.action?docID=5138615</t>
  </si>
  <si>
    <t>Sociology : Making Sense of Society</t>
  </si>
  <si>
    <t>Punch, Samantha;Harden, Jeni;Marsh, Ian; Harden, Jeni; Marsh, Ian; Keating, Mike</t>
  </si>
  <si>
    <t>https://ebookcentral.proquest.com/lib/fudan-ebooks/detail.action?docID=5138616</t>
  </si>
  <si>
    <t>Practice of Computing Using Python, The: Pearson New International Edition</t>
  </si>
  <si>
    <t>Punch, William F.;Enbody, Richard</t>
  </si>
  <si>
    <t>https://ebookcentral.proquest.com/lib/fudan-ebooks/detail.action?docID=5138617</t>
  </si>
  <si>
    <t>Cognitive Psychology</t>
  </si>
  <si>
    <t>Quinlan, Philip;Dyson, Ben; Dyson, Ben</t>
  </si>
  <si>
    <t>https://ebookcentral.proquest.com/lib/fudan-ebooks/detail.action?docID=5138618</t>
  </si>
  <si>
    <t>Tort Law</t>
  </si>
  <si>
    <t>https://ebookcentral.proquest.com/lib/fudan-ebooks/detail.action?docID=5138619</t>
  </si>
  <si>
    <t>https://ebookcentral.proquest.com/lib/fudan-ebooks/detail.action?docID=5138627</t>
  </si>
  <si>
    <t>Learners with Mild Disabilities: Pearson New International Edition</t>
  </si>
  <si>
    <t>Raymond, Eileen B.; DeCourcey, Catherine M.</t>
  </si>
  <si>
    <t>https://ebookcentral.proquest.com/lib/fudan-ebooks/detail.action?docID=5138629</t>
  </si>
  <si>
    <t>Study Guide for Campbell Biology: Pearson New International Edition</t>
  </si>
  <si>
    <t>Reece, Jane B.;Taylor, Martha R.;Simon, Eric J.; Taylor, Martha R.; Simon, Eric J.; Dickey, Jean L.; Liebaert, Richard M</t>
  </si>
  <si>
    <t>https://ebookcentral.proquest.com/lib/fudan-ebooks/detail.action?docID=5138633</t>
  </si>
  <si>
    <t>Chemistry for Biologists</t>
  </si>
  <si>
    <t>Reed, David</t>
  </si>
  <si>
    <t>https://ebookcentral.proquest.com/lib/fudan-ebooks/detail.action?docID=5138636</t>
  </si>
  <si>
    <t>Programmable Logic Controllers: Pearson New International Edition</t>
  </si>
  <si>
    <t>Rehg, James A.;Sartori, Glenn J.; Sartori, Glenn J.</t>
  </si>
  <si>
    <t>https://ebookcentral.proquest.com/lib/fudan-ebooks/detail.action?docID=5138645</t>
  </si>
  <si>
    <t>Women, Men, and Society: Pearson New International Edition</t>
  </si>
  <si>
    <t>Renzetti, Claire M.;Curran, Daniel J.;Maier, Shana L.; Curran, Daniel J.; Maier, Shana L.</t>
  </si>
  <si>
    <t>https://ebookcentral.proquest.com/lib/fudan-ebooks/detail.action?docID=5138652</t>
  </si>
  <si>
    <t>Teaching Children to Read: Pearson New International Edition</t>
  </si>
  <si>
    <t>Reutzel, D. Ray;Cooter, Robert B.</t>
  </si>
  <si>
    <t>https://ebookcentral.proquest.com/lib/fudan-ebooks/detail.action?docID=5138653</t>
  </si>
  <si>
    <t>Civil and Environmental Systems Engineering: Pearson New International Edition</t>
  </si>
  <si>
    <t>Revelle, Charles S.;Whitlatch, Earl;Wright, Jeff; Whitlatch, Earl; Wright, Jeff</t>
  </si>
  <si>
    <t>https://ebookcentral.proquest.com/lib/fudan-ebooks/detail.action?docID=5138654</t>
  </si>
  <si>
    <t>Essential College Physics: Pearson New International Edition</t>
  </si>
  <si>
    <t>Rex, Andrew;Wolfson, Richard; Wolfson, Richard</t>
  </si>
  <si>
    <t>https://ebookcentral.proquest.com/lib/fudan-ebooks/detail.action?docID=5138655</t>
  </si>
  <si>
    <t>Mastering Modern Psychological Testing: Pearson New International Edition</t>
  </si>
  <si>
    <t>Reynolds, Cecil R;Livingston, Ronald B; Livingston, Ronald B.</t>
  </si>
  <si>
    <t>https://ebookcentral.proquest.com/lib/fudan-ebooks/detail.action?docID=5138656</t>
  </si>
  <si>
    <t>Longman Dictionary of Law</t>
  </si>
  <si>
    <t>Richards, Paul;Curzon, Leslie B.; Curzon, L.B.</t>
  </si>
  <si>
    <t>https://ebookcentral.proquest.com/lib/fudan-ebooks/detail.action?docID=5138660</t>
  </si>
  <si>
    <t>Keenan and Riches' Business Law 11th edn</t>
  </si>
  <si>
    <t>Riches, Sarah;Allen, Vida; Allen, Vida</t>
  </si>
  <si>
    <t>https://ebookcentral.proquest.com/lib/fudan-ebooks/detail.action?docID=5138661</t>
  </si>
  <si>
    <t>Legal Philosophy</t>
  </si>
  <si>
    <t>Riley, Stephen</t>
  </si>
  <si>
    <t>https://ebookcentral.proquest.com/lib/fudan-ebooks/detail.action?docID=5138662</t>
  </si>
  <si>
    <t>Principles of Money, Banking &amp; Financial Markets: Pearson New International Edition</t>
  </si>
  <si>
    <t>Ritter, Lawrence S.;Silber, William L.;Udell, Gregory F.; Silber, William L.; Udell, Gregory F.</t>
  </si>
  <si>
    <t>https://ebookcentral.proquest.com/lib/fudan-ebooks/detail.action?docID=5138663</t>
  </si>
  <si>
    <t>Fundamentals of Management: Global Edition</t>
  </si>
  <si>
    <t>Robbins, Stephen;De Cenzo, David;Coulter, Mary</t>
  </si>
  <si>
    <t>https://ebookcentral.proquest.com/lib/fudan-ebooks/detail.action?docID=5138673</t>
  </si>
  <si>
    <t>Golosa: Pearson New International Edition</t>
  </si>
  <si>
    <t>Robin, Richard M.;Evans-Romaine, Karen;Shatalina, Galina; Evans-Romaine, Karen; Shatalina, Galina; Robin, Joanna</t>
  </si>
  <si>
    <t>https://ebookcentral.proquest.com/lib/fudan-ebooks/detail.action?docID=5138676</t>
  </si>
  <si>
    <t>Cognitive Psychology: Pearson New International Edition</t>
  </si>
  <si>
    <t>Robinson-Riegler, Bridget;Robinson-Riegler, Gregory L.</t>
  </si>
  <si>
    <t>https://ebookcentral.proquest.com/lib/fudan-ebooks/detail.action?docID=5138677</t>
  </si>
  <si>
    <t>Integrating Educational Technology into Teaching: Pearson New International Edition</t>
  </si>
  <si>
    <t>Roblyer, M. D.;Doering, Aaron H.; Doering, Aaron H.</t>
  </si>
  <si>
    <t>https://ebookcentral.proquest.com/lib/fudan-ebooks/detail.action?docID=5138678</t>
  </si>
  <si>
    <t>Beginning and Intermediate Algebra with Applications &amp; Visualization: Pearson New International Edition</t>
  </si>
  <si>
    <t>Rockswold, Gary K;Krieger, Terry A; Krieger, Terry A.</t>
  </si>
  <si>
    <t>https://ebookcentral.proquest.com/lib/fudan-ebooks/detail.action?docID=5138680</t>
  </si>
  <si>
    <t>Academic Writer's Handbook: Pearson New International Edition</t>
  </si>
  <si>
    <t>Rosen, Leonard J.</t>
  </si>
  <si>
    <t>https://ebookcentral.proquest.com/lib/fudan-ebooks/detail.action?docID=5138685</t>
  </si>
  <si>
    <t>First Course in Probability, A: Pearson New International Edition</t>
  </si>
  <si>
    <t>Ross, Sheldon</t>
  </si>
  <si>
    <t>https://ebookcentral.proquest.com/lib/fudan-ebooks/detail.action?docID=5138689</t>
  </si>
  <si>
    <t>Science of Sound: Pearson New International Edition</t>
  </si>
  <si>
    <t>Rossing, Thomas D.;Moore, Richard F.;Wheeler, Paul A.; Moore, Richard F.; Wheeler, Paul A.</t>
  </si>
  <si>
    <t>https://ebookcentral.proquest.com/lib/fudan-ebooks/detail.action?docID=5138690</t>
  </si>
  <si>
    <t>Cultural Landscape: An Introduction to Human Geography</t>
  </si>
  <si>
    <t>Rubenstein, James M.</t>
  </si>
  <si>
    <t>https://ebookcentral.proquest.com/lib/fudan-ebooks/detail.action?docID=5138693</t>
  </si>
  <si>
    <t>iGenetics: Pearson New International Edition</t>
  </si>
  <si>
    <t>Russell, Peter J.</t>
  </si>
  <si>
    <t>https://ebookcentral.proquest.com/lib/fudan-ebooks/detail.action?docID=5138696</t>
  </si>
  <si>
    <t>Artificial Intelligence: Pearson New International Edition</t>
  </si>
  <si>
    <t>Russell, Stuart;Norvig, Peter</t>
  </si>
  <si>
    <t>https://ebookcentral.proquest.com/lib/fudan-ebooks/detail.action?docID=5138697</t>
  </si>
  <si>
    <t>Scott Foresman Handbook for Writers: Pearson New International Edition</t>
  </si>
  <si>
    <t>Ruszkiewicz, John J.;Friend, Christy E.;Seward, Daniel E.; Friend, Christy; Seward, Daniel E.; Hairston, Maxine</t>
  </si>
  <si>
    <t>https://ebookcentral.proquest.com/lib/fudan-ebooks/detail.action?docID=5138699</t>
  </si>
  <si>
    <t>Fundamentals of Complex Analysis  with Applications to Engineering,  Science, and Mathematics: Pearson New International Edition</t>
  </si>
  <si>
    <t>Saff, Edward B.;Snider, Arthur David; Snider, Arthur David</t>
  </si>
  <si>
    <t>https://ebookcentral.proquest.com/lib/fudan-ebooks/detail.action?docID=5138704</t>
  </si>
  <si>
    <t>Modern Quantum Mechanics: Pearson New International Edition</t>
  </si>
  <si>
    <t>Sakurai, J. J.;Napolitano, Jim J.; Napolitano, Jim J.</t>
  </si>
  <si>
    <t>https://ebookcentral.proquest.com/lib/fudan-ebooks/detail.action?docID=5138705</t>
  </si>
  <si>
    <t>Exploring Research: Pearson New International Edition</t>
  </si>
  <si>
    <t>Salkind, Neil J</t>
  </si>
  <si>
    <t>https://ebookcentral.proquest.com/lib/fudan-ebooks/detail.action?docID=5138706</t>
  </si>
  <si>
    <t>Gas Turbine Theory</t>
  </si>
  <si>
    <t>Saravanamuttoo, H.I.H.;Rogers, G.F.C.;Cohen, H.; Straznicky, P. V.; Rogers, G. F. C.; Cohen, H.</t>
  </si>
  <si>
    <t>Engineering; Engineering: Mechanical; Engineering: General</t>
  </si>
  <si>
    <t>https://ebookcentral.proquest.com/lib/fudan-ebooks/detail.action?docID=5138712</t>
  </si>
  <si>
    <t>How You Can Talk to Anyone in Every Situation</t>
  </si>
  <si>
    <t>Sargent, Emma;Fearon, Tim</t>
  </si>
  <si>
    <t>https://ebookcentral.proquest.com/lib/fudan-ebooks/detail.action?docID=5138714</t>
  </si>
  <si>
    <t>Numerical Analysis: Pearson New International Edition</t>
  </si>
  <si>
    <t>Sauer, Timothy</t>
  </si>
  <si>
    <t>https://ebookcentral.proquest.com/lib/fudan-ebooks/detail.action?docID=5138715</t>
  </si>
  <si>
    <t>Brilliant Intern</t>
  </si>
  <si>
    <t>Scherer, Andrew; Rosen, Ben</t>
  </si>
  <si>
    <t>Education; Economics</t>
  </si>
  <si>
    <t>https://ebookcentral.proquest.com/lib/fudan-ebooks/detail.action?docID=5138727</t>
  </si>
  <si>
    <t>Criminal Justice Today: Pearson New International Edition</t>
  </si>
  <si>
    <t>Schmalleger, Frank J.</t>
  </si>
  <si>
    <t>https://ebookcentral.proquest.com/lib/fudan-ebooks/detail.action?docID=5138730</t>
  </si>
  <si>
    <t>Structures: Pearson New International Edition</t>
  </si>
  <si>
    <t>Schodek, Daniel;Bechthold, Martin; Bechthold, Martin</t>
  </si>
  <si>
    <t>https://ebookcentral.proquest.com/lib/fudan-ebooks/detail.action?docID=5138736</t>
  </si>
  <si>
    <t>Learning Theories: Pearson New International Edition</t>
  </si>
  <si>
    <t>Schunk, Dale H.</t>
  </si>
  <si>
    <t>https://ebookcentral.proquest.com/lib/fudan-ebooks/detail.action?docID=5138738</t>
  </si>
  <si>
    <t>Motivation in Education: Pearson New International Edition</t>
  </si>
  <si>
    <t>Schunk, Dale H.;Meece, Judith R;Pintrich, Paul R.; Meece, Judith R; Pintrich, Paul R.</t>
  </si>
  <si>
    <t>https://ebookcentral.proquest.com/lib/fudan-ebooks/detail.action?docID=5138739</t>
  </si>
  <si>
    <t>Managing Classroom Behavior Using Positive Behavior Supports: Pearson New International Edition</t>
  </si>
  <si>
    <t>Scott, Terrance M.;Anderson, Cynthia M.;Alter, Peter; Anderson, Cynthia M.; Alter, Peter</t>
  </si>
  <si>
    <t>https://ebookcentral.proquest.com/lib/fudan-ebooks/detail.action?docID=5138741</t>
  </si>
  <si>
    <t>Cultural Anthropology: Pearson New International Edition</t>
  </si>
  <si>
    <t>Scupin, Raymond</t>
  </si>
  <si>
    <t>https://ebookcentral.proquest.com/lib/fudan-ebooks/detail.action?docID=5138743</t>
  </si>
  <si>
    <t>Families and their Social Worlds: Pearson New International Edition</t>
  </si>
  <si>
    <t>Seccombe, Karen T</t>
  </si>
  <si>
    <t>https://ebookcentral.proquest.com/lib/fudan-ebooks/detail.action?docID=5138747</t>
  </si>
  <si>
    <t>Brilliant Email : How to win back time and take control of your inbox</t>
  </si>
  <si>
    <t>Seeley, Monica</t>
  </si>
  <si>
    <t>https://ebookcentral.proquest.com/lib/fudan-ebooks/detail.action?docID=5138749</t>
  </si>
  <si>
    <t>Global Problems: Pearson New International Edition</t>
  </si>
  <si>
    <t>Sernau, Scott R.</t>
  </si>
  <si>
    <t>https://ebookcentral.proquest.com/lib/fudan-ebooks/detail.action?docID=5138753</t>
  </si>
  <si>
    <t>Sewing for the Apparel Industry: Pearson New International Edition</t>
  </si>
  <si>
    <t>Shaeffer, Claire</t>
  </si>
  <si>
    <t>https://ebookcentral.proquest.com/lib/fudan-ebooks/detail.action?docID=5138756</t>
  </si>
  <si>
    <t>Technology Strategy for Managers and Entrepreneurs: Pearson New International Edition</t>
  </si>
  <si>
    <t>Shane, Scott A.</t>
  </si>
  <si>
    <t>https://ebookcentral.proquest.com/lib/fudan-ebooks/detail.action?docID=5138757</t>
  </si>
  <si>
    <t>Behavior Management: Pearson New International Edition</t>
  </si>
  <si>
    <t>Shea, Thomas M.;Bauer, Anne M.; Bauer, Anne M.</t>
  </si>
  <si>
    <t>https://ebookcentral.proquest.com/lib/fudan-ebooks/detail.action?docID=5138762</t>
  </si>
  <si>
    <t>Fundamentals of Organizational Communication: Pearson New International Edition</t>
  </si>
  <si>
    <t>Shockley-Zalabak, Pamela S.</t>
  </si>
  <si>
    <t>https://ebookcentral.proquest.com/lib/fudan-ebooks/detail.action?docID=5138766</t>
  </si>
  <si>
    <t>Project Management: Pearson New International Edition</t>
  </si>
  <si>
    <t>Shtub, Avraham;Bard, Jonathan F.;Globerson, Shlomo; Bard, Jonathan F.; Globerson, Shlomo</t>
  </si>
  <si>
    <t>https://ebookcentral.proquest.com/lib/fudan-ebooks/detail.action?docID=5138769</t>
  </si>
  <si>
    <t>Friendly Introduction to Number Theory, A: Pearson New International Edition</t>
  </si>
  <si>
    <t>Silverman, Joseph H.</t>
  </si>
  <si>
    <t>https://ebookcentral.proquest.com/lib/fudan-ebooks/detail.action?docID=5138770</t>
  </si>
  <si>
    <t>New Beginnings: Pearson New International Edition</t>
  </si>
  <si>
    <t>Simon, Linda</t>
  </si>
  <si>
    <t>https://ebookcentral.proquest.com/lib/fudan-ebooks/detail.action?docID=5138774</t>
  </si>
  <si>
    <t>Slack, Nigel;Brandon-Jones, Alistair;Johnston, Robert; Brandon-Jones, Alistair; Johnston, Robert</t>
  </si>
  <si>
    <t>https://ebookcentral.proquest.com/lib/fudan-ebooks/detail.action?docID=5138779</t>
  </si>
  <si>
    <t>Slavin, Robert E.</t>
  </si>
  <si>
    <t>https://ebookcentral.proquest.com/lib/fudan-ebooks/detail.action?docID=5138783</t>
  </si>
  <si>
    <t>Thematic Cartography and Geovisualization: Pearson New International Edition</t>
  </si>
  <si>
    <t>Slocum, Terry A.;McMaster, Robert B;Kessler, Fritz C; McMaster, Robert B.; Kessler, Fritz C.; Howard, Hugh H.</t>
  </si>
  <si>
    <t>Science; Science: Astronomy</t>
  </si>
  <si>
    <t>https://ebookcentral.proquest.com/lib/fudan-ebooks/detail.action?docID=5138785</t>
  </si>
  <si>
    <t>Instructional Technology and Media for Learning: Pearson New International Edition</t>
  </si>
  <si>
    <t>Smaldino, Sharon E.;Lowther, Deborah L.;Russell, James D.; Lowther, Deborah L.; Russell, James D.</t>
  </si>
  <si>
    <t>https://ebookcentral.proquest.com/lib/fudan-ebooks/detail.action?docID=5138791</t>
  </si>
  <si>
    <t>Engineering Computation with MATLAB: International Edition</t>
  </si>
  <si>
    <t>Smith, David M.</t>
  </si>
  <si>
    <t>https://ebookcentral.proquest.com/lib/fudan-ebooks/detail.action?docID=5138793</t>
  </si>
  <si>
    <t>Smith, Edward E.;Kosslyn, Stephen M.; Kosslyn, Stephen M.</t>
  </si>
  <si>
    <t>https://ebookcentral.proquest.com/lib/fudan-ebooks/detail.action?docID=5138794</t>
  </si>
  <si>
    <t>Introduction to Land Law 3e</t>
  </si>
  <si>
    <t>https://ebookcentral.proquest.com/lib/fudan-ebooks/detail.action?docID=5138798</t>
  </si>
  <si>
    <t>Clinical Nursing Skills: Pearson New International Edition</t>
  </si>
  <si>
    <t>Smith, Sandra F.;Duell, Donna J.;Martin, Barbara</t>
  </si>
  <si>
    <t>https://ebookcentral.proquest.com/lib/fudan-ebooks/detail.action?docID=5138801</t>
  </si>
  <si>
    <t>Instruction of Students with Severe Disabilities: Pearson New International Edition</t>
  </si>
  <si>
    <t>Snell, Martha E.;Brown, Fredda E; Brown, Fredda</t>
  </si>
  <si>
    <t>https://ebookcentral.proquest.com/lib/fudan-ebooks/detail.action?docID=5138804</t>
  </si>
  <si>
    <t>Global Investments: Pearson New International Edition</t>
  </si>
  <si>
    <t>Solnik, Bruno;McLeavey, Dennis; McLeavey, Dennis</t>
  </si>
  <si>
    <t>https://ebookcentral.proquest.com/lib/fudan-ebooks/detail.action?docID=5138807</t>
  </si>
  <si>
    <t>Social Media Marketing: Pearson New International Edition</t>
  </si>
  <si>
    <t>Solomon, Michael R;Tuten, Tracy; Tuten, Tracy L.</t>
  </si>
  <si>
    <t>https://ebookcentral.proquest.com/lib/fudan-ebooks/detail.action?docID=5138811</t>
  </si>
  <si>
    <t>Solso, Robert L.;Maclin, Otto H.;MacLin, M. Kimberly; MacLin, Otto H.; MacLin, M. Kimberly</t>
  </si>
  <si>
    <t>https://ebookcentral.proquest.com/lib/fudan-ebooks/detail.action?docID=5138812</t>
  </si>
  <si>
    <t>Elementary Linear Algebra: Pearson New International Edition</t>
  </si>
  <si>
    <t>Spence, Lawrence E.;Insel, Arnold J;Friedberg, Stephen H; Insel, Arnold J.; Friedberg, Stephen H.</t>
  </si>
  <si>
    <t>https://ebookcentral.proquest.com/lib/fudan-ebooks/detail.action?docID=5138814</t>
  </si>
  <si>
    <t>Basic Statistical Analysis: Pearson New International Edition</t>
  </si>
  <si>
    <t>Sprinthall, Richard C.</t>
  </si>
  <si>
    <t>https://ebookcentral.proquest.com/lib/fudan-ebooks/detail.action?docID=5138817</t>
  </si>
  <si>
    <t>Principles of Human Physiology: Pearson New International Edition</t>
  </si>
  <si>
    <t>Stanfield, Cindy L</t>
  </si>
  <si>
    <t>https://ebookcentral.proquest.com/lib/fudan-ebooks/detail.action?docID=5138828</t>
  </si>
  <si>
    <t>How To Think Straight About Psychology: Pearson New International Edition</t>
  </si>
  <si>
    <t>Stanovich, Keith E.</t>
  </si>
  <si>
    <t>https://ebookcentral.proquest.com/lib/fudan-ebooks/detail.action?docID=5138830</t>
  </si>
  <si>
    <t>Psychology Express: Statistics in Psychology (Undergraduate Revision Guide)</t>
  </si>
  <si>
    <t>Steele, Catherine;Andrews, Holly;Upton, Dominic; Andrews, Holly; Steele, Catherine</t>
  </si>
  <si>
    <t>https://ebookcentral.proquest.com/lib/fudan-ebooks/detail.action?docID=5138834</t>
  </si>
  <si>
    <t>Visual Approach to SPSS for Windows, A: Pearson New International Edition</t>
  </si>
  <si>
    <t>Stern, Leonard D</t>
  </si>
  <si>
    <t>https://ebookcentral.proquest.com/lib/fudan-ebooks/detail.action?docID=5138838</t>
  </si>
  <si>
    <t>Brilliant Customer Service</t>
  </si>
  <si>
    <t>Stevens, Debra</t>
  </si>
  <si>
    <t>https://ebookcentral.proquest.com/lib/fudan-ebooks/detail.action?docID=5138839</t>
  </si>
  <si>
    <t>Writing for the Mass Media: Pearson New International Edition</t>
  </si>
  <si>
    <t>Stovall, James G.</t>
  </si>
  <si>
    <t>https://ebookcentral.proquest.com/lib/fudan-ebooks/detail.action?docID=5138847</t>
  </si>
  <si>
    <t>Employment Law</t>
  </si>
  <si>
    <t>Living Law</t>
  </si>
  <si>
    <t>Strevens, Caroline;Welch, Roger; Welch, Roger</t>
  </si>
  <si>
    <t>https://ebookcentral.proquest.com/lib/fudan-ebooks/detail.action?docID=5138851</t>
  </si>
  <si>
    <t>Action Research in Education: Pearson New International Edition</t>
  </si>
  <si>
    <t>Stringer, Ernie</t>
  </si>
  <si>
    <t>https://ebookcentral.proquest.com/lib/fudan-ebooks/detail.action?docID=5138852</t>
  </si>
  <si>
    <t>World Economy, The: Pearson New International Edition</t>
  </si>
  <si>
    <t>Stutz, Frederick P.;Warf, Barney; Warf, Professor Barney</t>
  </si>
  <si>
    <t>https://ebookcentral.proquest.com/lib/fudan-ebooks/detail.action?docID=5138858</t>
  </si>
  <si>
    <t>Creating Value from Mergers and Acquisitions</t>
  </si>
  <si>
    <t>Sudarsanam, Sudi</t>
  </si>
  <si>
    <t>https://ebookcentral.proquest.com/lib/fudan-ebooks/detail.action?docID=5138860</t>
  </si>
  <si>
    <t>Sullivan, Michael</t>
  </si>
  <si>
    <t>https://ebookcentral.proquest.com/lib/fudan-ebooks/detail.action?docID=5138861</t>
  </si>
  <si>
    <t>https://ebookcentral.proquest.com/lib/fudan-ebooks/detail.action?docID=5138862</t>
  </si>
  <si>
    <t>https://ebookcentral.proquest.com/lib/fudan-ebooks/detail.action?docID=5138863</t>
  </si>
  <si>
    <t>https://ebookcentral.proquest.com/lib/fudan-ebooks/detail.action?docID=5138864</t>
  </si>
  <si>
    <t>Precalculus Enhanced with Graphing Utilities: Pearson New International Edition</t>
  </si>
  <si>
    <t>Sullivan, Michael;Sullivan, Michael</t>
  </si>
  <si>
    <t>https://ebookcentral.proquest.com/lib/fudan-ebooks/detail.action?docID=5138865</t>
  </si>
  <si>
    <t>Excursions in Modern Mathematics: Pearson New International Edition</t>
  </si>
  <si>
    <t>Tannenbaum, Peter</t>
  </si>
  <si>
    <t>https://ebookcentral.proquest.com/lib/fudan-ebooks/detail.action?docID=5138882</t>
  </si>
  <si>
    <t>Brilliant Business Writing 2e : How to inspire, engage and persuade through words</t>
  </si>
  <si>
    <t>Taylor, Neil</t>
  </si>
  <si>
    <t>https://ebookcentral.proquest.com/lib/fudan-ebooks/detail.action?docID=5138899</t>
  </si>
  <si>
    <t>How to Get Things Done Without Trying Too Hard 2e</t>
  </si>
  <si>
    <t>https://ebookcentral.proquest.com/lib/fudan-ebooks/detail.action?docID=5138904</t>
  </si>
  <si>
    <t>Introduction to Biotechnology: Pearson New International Edition</t>
  </si>
  <si>
    <t>Thieman, William J.;Palladino, Michael A.; Palladino, Michael A.</t>
  </si>
  <si>
    <t>https://ebookcentral.proquest.com/lib/fudan-ebooks/detail.action?docID=5138911</t>
  </si>
  <si>
    <t>Ethics: Pearson New International Edition</t>
  </si>
  <si>
    <t>Thiroux, Jacques P.;Krasemann, Keith W.; Krasemann, Keith W.</t>
  </si>
  <si>
    <t>https://ebookcentral.proquest.com/lib/fudan-ebooks/detail.action?docID=5138914</t>
  </si>
  <si>
    <t>Thomas' Calculus Early Transcendentals: Pearson New International Edition</t>
  </si>
  <si>
    <t>Thomas, George B.;Weir, Maurice D.;Hass, Joel R.; Weir, Maurice D.; Hass, Joel R.</t>
  </si>
  <si>
    <t>https://ebookcentral.proquest.com/lib/fudan-ebooks/detail.action?docID=5138915</t>
  </si>
  <si>
    <t>Science of Nutrition, The: Pearson New International Edition</t>
  </si>
  <si>
    <t>Thompson, Janice;Manore, Melinda;Vaughan, Linda; Manore, Melinda; Vaughan, Linda</t>
  </si>
  <si>
    <t>Health; Home Economics</t>
  </si>
  <si>
    <t>https://ebookcentral.proquest.com/lib/fudan-ebooks/detail.action?docID=5138919</t>
  </si>
  <si>
    <t>Essentials of Dental Radiography: Pearson New International Edition</t>
  </si>
  <si>
    <t>Thomson, Evelyn;Johnson, Orlen; Johnson, Orlen N.</t>
  </si>
  <si>
    <t>https://ebookcentral.proquest.com/lib/fudan-ebooks/detail.action?docID=5138924</t>
  </si>
  <si>
    <t>Measurement and Evaluation in Psychology and Education: Pearson New International Edition</t>
  </si>
  <si>
    <t>Thorndike, Robert M.;Thorndike-Christ, Tracy M.; Thorndike-Christ, Tracy M.</t>
  </si>
  <si>
    <t>https://ebookcentral.proquest.com/lib/fudan-ebooks/detail.action?docID=5138925</t>
  </si>
  <si>
    <t>Basic Chemistry: Pearson New International Edition</t>
  </si>
  <si>
    <t>Timberlake, Karen C.;Timberlake, William</t>
  </si>
  <si>
    <t>https://ebookcentral.proquest.com/lib/fudan-ebooks/detail.action?docID=5138933</t>
  </si>
  <si>
    <t>Tobey, John Jr;Slater, Jeffrey;Blair, Jamie; Slater, Jeffrey; Blair, Jamie; Crawford, Jennifer</t>
  </si>
  <si>
    <t>https://ebookcentral.proquest.com/lib/fudan-ebooks/detail.action?docID=5138936</t>
  </si>
  <si>
    <t>https://ebookcentral.proquest.com/lib/fudan-ebooks/detail.action?docID=5138937</t>
  </si>
  <si>
    <t>Digital Systems: Pearson New International Edition</t>
  </si>
  <si>
    <t>Tocci, Ronald J.;Widmer, Neal;Moss, Greg; Widmer, Neal S.; Moss, Greg</t>
  </si>
  <si>
    <t>https://ebookcentral.proquest.com/lib/fudan-ebooks/detail.action?docID=5138939</t>
  </si>
  <si>
    <t>Advanced Electronic Communications Systems:Pearson New International Edition</t>
  </si>
  <si>
    <t>Tomasi, Wayne</t>
  </si>
  <si>
    <t>https://ebookcentral.proquest.com/lib/fudan-ebooks/detail.action?docID=5138940</t>
  </si>
  <si>
    <t>Literacy in the Middle Grades: Pearson New International Edition</t>
  </si>
  <si>
    <t>Tompkins, Gail E.</t>
  </si>
  <si>
    <t>https://ebookcentral.proquest.com/lib/fudan-ebooks/detail.action?docID=5138942</t>
  </si>
  <si>
    <t>Literacy for the 21st Century: Pearson New International Edition</t>
  </si>
  <si>
    <t>https://ebookcentral.proquest.com/lib/fudan-ebooks/detail.action?docID=5138943</t>
  </si>
  <si>
    <t>Introduction to Group Work Practice: Pearson New International Edition</t>
  </si>
  <si>
    <t>Toseland, Ronald W.;Rivas, Robert F.; Rivas, Robert F.</t>
  </si>
  <si>
    <t>https://ebookcentral.proquest.com/lib/fudan-ebooks/detail.action?docID=5138946</t>
  </si>
  <si>
    <t>Early Childhood Development: Pearson New International Edition</t>
  </si>
  <si>
    <t>Trawick-Smith, Jeffrey</t>
  </si>
  <si>
    <t>https://ebookcentral.proquest.com/lib/fudan-ebooks/detail.action?docID=5138948</t>
  </si>
  <si>
    <t>Biostatistics for the Biological and Health Sciences with Statdisk: Pearson New International Edition</t>
  </si>
  <si>
    <t>Triola, Marc M.;Triola, Mario F.; Triola, Mario F.</t>
  </si>
  <si>
    <t>https://ebookcentral.proquest.com/lib/fudan-ebooks/detail.action?docID=5138950</t>
  </si>
  <si>
    <t>Elementary Statistics Using Excel: Pearson New International Edition</t>
  </si>
  <si>
    <t>https://ebookcentral.proquest.com/lib/fudan-ebooks/detail.action?docID=5138951</t>
  </si>
  <si>
    <t>Introductory Chemistry Essentials: Pearson New International Edition</t>
  </si>
  <si>
    <t>https://ebookcentral.proquest.com/lib/fudan-ebooks/detail.action?docID=5138954</t>
  </si>
  <si>
    <t>Innovation Management and New Product Development</t>
  </si>
  <si>
    <t>Trott, Paul</t>
  </si>
  <si>
    <t>https://ebookcentral.proquest.com/lib/fudan-ebooks/detail.action?docID=5138959</t>
  </si>
  <si>
    <t>Psychology Express: Developmental Psychology (Undergraduate Revision Guide)</t>
  </si>
  <si>
    <t>Upton, Penney;Upton, Dominic; Upton, Dominic</t>
  </si>
  <si>
    <t>https://ebookcentral.proquest.com/lib/fudan-ebooks/detail.action?docID=5138968</t>
  </si>
  <si>
    <t>Marketing Across Cultures</t>
  </si>
  <si>
    <t>Usunier, Jean-Claude;Lee, Julie Anne; Lee, MS Julie Anne</t>
  </si>
  <si>
    <t>https://ebookcentral.proquest.com/lib/fudan-ebooks/detail.action?docID=5138969</t>
  </si>
  <si>
    <t>Chez nous: Pearson New International Edition</t>
  </si>
  <si>
    <t>Valdman, Albert;Pons, Cathy;Scullen, Mary Ellen; Pons, Cathy; Scullen, Mary Ellen</t>
  </si>
  <si>
    <t>https://ebookcentral.proquest.com/lib/fudan-ebooks/detail.action?docID=5138974</t>
  </si>
  <si>
    <t>Evolutionary Psychology</t>
  </si>
  <si>
    <t>van de Braak, Hans</t>
  </si>
  <si>
    <t>https://ebookcentral.proquest.com/lib/fudan-ebooks/detail.action?docID=5138976</t>
  </si>
  <si>
    <t>Teaching Student-Centered Mathematics: Pearson New International Edition</t>
  </si>
  <si>
    <t>Van de Walle, John A.;Lovin, Lou Ann H.;Karp, Karen H</t>
  </si>
  <si>
    <t>https://ebookcentral.proquest.com/lib/fudan-ebooks/detail.action?docID=5138977</t>
  </si>
  <si>
    <t>Play at the Center of the Curriculum: Pearson New International Edition</t>
  </si>
  <si>
    <t>Van Hoorn, Judith;Nourot, Patricia Monighan;Scales, Barbara</t>
  </si>
  <si>
    <t>https://ebookcentral.proquest.com/lib/fudan-ebooks/detail.action?docID=5138979</t>
  </si>
  <si>
    <t>Service Management : An integrated approach</t>
  </si>
  <si>
    <t>Van Looy, Bart;Gemmel, Paul;Van Dierdonck, Roland; Gemmel, Paul; Dierdonck, Roland Van</t>
  </si>
  <si>
    <t>https://ebookcentral.proquest.com/lib/fudan-ebooks/detail.action?docID=5138981</t>
  </si>
  <si>
    <t>Calculus Early Transcendentals: Pearson New International Edition</t>
  </si>
  <si>
    <t>Varberg, Dale;Purcell, Edwin J.;Rigdon, Steve E.; Purcell, Edwin J.; Rigdon, Steve E.</t>
  </si>
  <si>
    <t>https://ebookcentral.proquest.com/lib/fudan-ebooks/detail.action?docID=5138982</t>
  </si>
  <si>
    <t>Water Supply and Pollution Control: Pearson New International Edition</t>
  </si>
  <si>
    <t>Viessman, Warren;Hammer, Mark J.;Perez, Elizabeth M; Hammer, Mark J.; Perez, Elizabeth M.; Chadik, Paul</t>
  </si>
  <si>
    <t>Engineering: Environmental; Engineering</t>
  </si>
  <si>
    <t>https://ebookcentral.proquest.com/lib/fudan-ebooks/detail.action?docID=5138989</t>
  </si>
  <si>
    <t>Media of Mass Communication: Pearson New International Edition</t>
  </si>
  <si>
    <t>Vivian, John</t>
  </si>
  <si>
    <t>https://ebookcentral.proquest.com/lib/fudan-ebooks/detail.action?docID=5138991</t>
  </si>
  <si>
    <t>Engineering by Design: Pearson New International Edition</t>
  </si>
  <si>
    <t>Voland, Gerald</t>
  </si>
  <si>
    <t>https://ebookcentral.proquest.com/lib/fudan-ebooks/detail.action?docID=5138992</t>
  </si>
  <si>
    <t>Helping Young Children Learn Language and Literacy: Pearson New International Edition</t>
  </si>
  <si>
    <t>Vukelich, Carol;Christie, James;Enz, Billie Jean; Christie, James F.; Enz, Billie Jean</t>
  </si>
  <si>
    <t>https://ebookcentral.proquest.com/lib/fudan-ebooks/detail.action?docID=5138993</t>
  </si>
  <si>
    <t>Solutions Manual for Organic Chemistry: Pearson New International Edition</t>
  </si>
  <si>
    <t>Wade, Leroy G;Simek, Jan W.; Simek, Jan W.</t>
  </si>
  <si>
    <t>https://ebookcentral.proquest.com/lib/fudan-ebooks/detail.action?docID=5138996</t>
  </si>
  <si>
    <t>Physics Technology Update: Pearson New International Edition</t>
  </si>
  <si>
    <t>Walker, James S</t>
  </si>
  <si>
    <t>https://ebookcentral.proquest.com/lib/fudan-ebooks/detail.action?docID=5138999</t>
  </si>
  <si>
    <t>Introduction to Hospitality Management: Pearson New International Edition</t>
  </si>
  <si>
    <t>Walker, John R.;Walker, Josielyn T.; Walker, Josielyn T.</t>
  </si>
  <si>
    <t>https://ebookcentral.proquest.com/lib/fudan-ebooks/detail.action?docID=5139003</t>
  </si>
  <si>
    <t>Applied Mechanics for Engineering Technology: Pearson New International Edition</t>
  </si>
  <si>
    <t>Walker, Keith M.</t>
  </si>
  <si>
    <t>https://ebookcentral.proquest.com/lib/fudan-ebooks/detail.action?docID=5139004</t>
  </si>
  <si>
    <t>Economics Express: Microeconomics</t>
  </si>
  <si>
    <t>Wall, Stuart</t>
  </si>
  <si>
    <t>https://ebookcentral.proquest.com/lib/fudan-ebooks/detail.action?docID=5139007</t>
  </si>
  <si>
    <t>Economics Express: Environmental Economics</t>
  </si>
  <si>
    <t>Business/Management; Economics; Environmental Studies</t>
  </si>
  <si>
    <t>https://ebookcentral.proquest.com/lib/fudan-ebooks/detail.action?docID=5139008</t>
  </si>
  <si>
    <t>Consider Ethics: Pearson New International Edition</t>
  </si>
  <si>
    <t>Waller, Bruce N.</t>
  </si>
  <si>
    <t>https://ebookcentral.proquest.com/lib/fudan-ebooks/detail.action?docID=5139012</t>
  </si>
  <si>
    <t>Probability and Statistics for Engineers and Scientists: Pearson New International Edition</t>
  </si>
  <si>
    <t>Walpole, Ronald E.;Myers, Raymond H.;Myers, Sharon L.</t>
  </si>
  <si>
    <t>https://ebookcentral.proquest.com/lib/fudan-ebooks/detail.action?docID=5139013</t>
  </si>
  <si>
    <t>Essentials of Probability &amp; Statistics for Engineers &amp; Scientists: Pearson New International Edition</t>
  </si>
  <si>
    <t>Walpole, Ronald E.;Myers, Raymond;Myers, Sharon L.; Myers, Raymond H.; Myers, Sharon L.; Ye, Keying</t>
  </si>
  <si>
    <t>https://ebookcentral.proquest.com/lib/fudan-ebooks/detail.action?docID=5139015</t>
  </si>
  <si>
    <t>Equity and Trusts</t>
  </si>
  <si>
    <t>Warner-Reed, Emma</t>
  </si>
  <si>
    <t>https://ebookcentral.proquest.com/lib/fudan-ebooks/detail.action?docID=5139018</t>
  </si>
  <si>
    <t>Land Law</t>
  </si>
  <si>
    <t>https://ebookcentral.proquest.com/lib/fudan-ebooks/detail.action?docID=5139019</t>
  </si>
  <si>
    <t>Basic Technical Mathematics with Calculus: Pearson New International Edition</t>
  </si>
  <si>
    <t>Washington, Allyn J.</t>
  </si>
  <si>
    <t>https://ebookcentral.proquest.com/lib/fudan-ebooks/detail.action?docID=5139020</t>
  </si>
  <si>
    <t>Economics Express: Financial Markets and Institutions</t>
  </si>
  <si>
    <t>Webb, Robert; Brahma, Sanjukta</t>
  </si>
  <si>
    <t>https://ebookcentral.proquest.com/lib/fudan-ebooks/detail.action?docID=5139025</t>
  </si>
  <si>
    <t>Creative Activities and Ideas for Pupils with English as an Additional Language</t>
  </si>
  <si>
    <t>Classroom Gems</t>
  </si>
  <si>
    <t>Webster, Maggie</t>
  </si>
  <si>
    <t>Language/Linguistics; Education</t>
  </si>
  <si>
    <t>https://ebookcentral.proquest.com/lib/fudan-ebooks/detail.action?docID=5139026</t>
  </si>
  <si>
    <t>Experiments in General Chemistry: Pearson New International Edition</t>
  </si>
  <si>
    <t>Weiss, Gerald S;Greco, Thomas G;Rickard, Lyman H; Greco, Thomas G.; Rickard, Lyman H.</t>
  </si>
  <si>
    <t>https://ebookcentral.proquest.com/lib/fudan-ebooks/detail.action?docID=5139033</t>
  </si>
  <si>
    <t>Data Structures and Problem Solving Using Java: Pearson New International Edition</t>
  </si>
  <si>
    <t>Weiss, Mark A.</t>
  </si>
  <si>
    <t>https://ebookcentral.proquest.com/lib/fudan-ebooks/detail.action?docID=5139034</t>
  </si>
  <si>
    <t>Introductory Statistics: Pearson New International Edition</t>
  </si>
  <si>
    <t>Weiss, Neil A.</t>
  </si>
  <si>
    <t>https://ebookcentral.proquest.com/lib/fudan-ebooks/detail.action?docID=5139036</t>
  </si>
  <si>
    <t>Takeovers, Restructuring, and Corporate Governance: Pearson New International Edition</t>
  </si>
  <si>
    <t>Weston, J. Fred;Mitchell, Mark L.;Mulherin, J. Harold; Mitchell, Mark L.; Mulherin, J. Harold</t>
  </si>
  <si>
    <t>https://ebookcentral.proquest.com/lib/fudan-ebooks/detail.action?docID=5139039</t>
  </si>
  <si>
    <t>THINK Public Relations: Pearson New International Edition</t>
  </si>
  <si>
    <t>Wilcox, Dennis L.;Cameron, Glen T.;Reber, Bryan H.; Cameron, Glen T.; Reber, Bryan H.; Shin, Jae-Hwa</t>
  </si>
  <si>
    <t>https://ebookcentral.proquest.com/lib/fudan-ebooks/detail.action?docID=5139049</t>
  </si>
  <si>
    <t>Smith and Keenan's English Law</t>
  </si>
  <si>
    <t>Wild, Charles;Weinstein, Stuart; Weinstein, Stuart; Smith, Professor Emeritus Kenneth; Keenan, Denis J</t>
  </si>
  <si>
    <t>https://ebookcentral.proquest.com/lib/fudan-ebooks/detail.action?docID=5139051</t>
  </si>
  <si>
    <t>International Business, Global Edition</t>
  </si>
  <si>
    <t>Wild, John;Wild, Kenneth</t>
  </si>
  <si>
    <t>https://ebookcentral.proquest.com/lib/fudan-ebooks/detail.action?docID=5139054</t>
  </si>
  <si>
    <t>Electrical Machines, Drives and Power Systems: Pearson New International Edition</t>
  </si>
  <si>
    <t>Wildi, Theodore</t>
  </si>
  <si>
    <t>https://ebookcentral.proquest.com/lib/fudan-ebooks/detail.action?docID=5139055</t>
  </si>
  <si>
    <t>Employment Law in Context</t>
  </si>
  <si>
    <t>Willey, Brian</t>
  </si>
  <si>
    <t>https://ebookcentral.proquest.com/lib/fudan-ebooks/detail.action?docID=5139057</t>
  </si>
  <si>
    <t>Criminological Theory: Pearson New International Edition</t>
  </si>
  <si>
    <t>Williams, Franklin P.;McShane, Marilyn D.; McShane, Marilyn D.</t>
  </si>
  <si>
    <t>https://ebookcentral.proquest.com/lib/fudan-ebooks/detail.action?docID=5139058</t>
  </si>
  <si>
    <t>Brilliant Business Plan : What to know and do to make the perfect plan</t>
  </si>
  <si>
    <t>Williams, Kevan</t>
  </si>
  <si>
    <t>https://ebookcentral.proquest.com/lib/fudan-ebooks/detail.action?docID=5139059</t>
  </si>
  <si>
    <t>Willingham, Daniel T.</t>
  </si>
  <si>
    <t>https://ebookcentral.proquest.com/lib/fudan-ebooks/detail.action?docID=5139067</t>
  </si>
  <si>
    <t>Kinematics and Dynamics of Machinery: Pearson New International Edition</t>
  </si>
  <si>
    <t>Wilson, Charles E.;Sadler, J. Peter; Sadler, J. Peter</t>
  </si>
  <si>
    <t>Engineering; Engineering: Mechanical</t>
  </si>
  <si>
    <t>https://ebookcentral.proquest.com/lib/fudan-ebooks/detail.action?docID=5139070</t>
  </si>
  <si>
    <t>Social Work</t>
  </si>
  <si>
    <t>Wilson, Kate;Ruch, Gillian;Lymbery, Mark; Ruch, Gillian; Lymbery, Mark E. F.; Cooper, Andrew</t>
  </si>
  <si>
    <t>https://ebookcentral.proquest.com/lib/fudan-ebooks/detail.action?docID=5139073</t>
  </si>
  <si>
    <t>Principles of Igneous and Metamorphic Petrology: Pearson New International Edition</t>
  </si>
  <si>
    <t>Winter, John D.</t>
  </si>
  <si>
    <t>https://ebookcentral.proquest.com/lib/fudan-ebooks/detail.action?docID=5139076</t>
  </si>
  <si>
    <t>About Philosophy: Pearson New International Edition</t>
  </si>
  <si>
    <t>Wolff, Robert Paul</t>
  </si>
  <si>
    <t>https://ebookcentral.proquest.com/lib/fudan-ebooks/detail.action?docID=5139082</t>
  </si>
  <si>
    <t>Your Psychology Project Handbook</t>
  </si>
  <si>
    <t>Wood, Clare;Percy, Carol;Giles, David; Percy, Carol; Giles, David</t>
  </si>
  <si>
    <t>https://ebookcentral.proquest.com/lib/fudan-ebooks/detail.action?docID=5139087</t>
  </si>
  <si>
    <t>Understanding Immunology</t>
  </si>
  <si>
    <t>Wood, Peter</t>
  </si>
  <si>
    <t>Medicine; Science: Biology/Natural History; Science</t>
  </si>
  <si>
    <t>https://ebookcentral.proquest.com/lib/fudan-ebooks/detail.action?docID=5139089</t>
  </si>
  <si>
    <t>Psychology in Education</t>
  </si>
  <si>
    <t>Woolfolk, Anita E.;Hughes, Malcolm;Walkup, Vivienne; Hughes, Malcolm; Walkup, Vivienne</t>
  </si>
  <si>
    <t>https://ebookcentral.proquest.com/lib/fudan-ebooks/detail.action?docID=5139093</t>
  </si>
  <si>
    <t>Child and Adolescent Development: Pearson New International Edition</t>
  </si>
  <si>
    <t>Woolfolk, Anita;Perry, Nancy E.; Perry, Nancy E.</t>
  </si>
  <si>
    <t>https://ebookcentral.proquest.com/lib/fudan-ebooks/detail.action?docID=5139094</t>
  </si>
  <si>
    <t>Assessment in Early Childhood Education: Pearson New International Edition</t>
  </si>
  <si>
    <t>Wortham, Sue C.</t>
  </si>
  <si>
    <t>https://ebookcentral.proquest.com/lib/fudan-ebooks/detail.action?docID=5139096</t>
  </si>
  <si>
    <t>Environmental Science: Pearson New International Edition</t>
  </si>
  <si>
    <t>Wright, Richard T.;Boorse, Dorothy; Boorse, Dorothy T.</t>
  </si>
  <si>
    <t>Environmental Studies</t>
  </si>
  <si>
    <t>https://ebookcentral.proquest.com/lib/fudan-ebooks/detail.action?docID=5139099</t>
  </si>
  <si>
    <t>Law and Special Education: Pearson New International Edition</t>
  </si>
  <si>
    <t>Yell, Mitchell L.</t>
  </si>
  <si>
    <t>https://ebookcentral.proquest.com/lib/fudan-ebooks/detail.action?docID=5139101</t>
  </si>
  <si>
    <t>University Physics with Modern Physics Technology Update, Volume 2 (Chs.21-37): Pearson New International Edition</t>
  </si>
  <si>
    <t>Young, Hugh D.;Freedman, Roger A.; Freedman, Roger A.; Ford, A. Lewis</t>
  </si>
  <si>
    <t>https://ebookcentral.proquest.com/lib/fudan-ebooks/detail.action?docID=5139103</t>
  </si>
  <si>
    <t>University Physics with Modern Physics Technology Update, Volume 1 (Chs. 1-20): Pearson New International Edition</t>
  </si>
  <si>
    <t>Young, Hugh D.;Freedman, Roger A.; Freedman, Roger A.</t>
  </si>
  <si>
    <t>https://ebookcentral.proquest.com/lib/fudan-ebooks/detail.action?docID=5139104</t>
  </si>
  <si>
    <t>Biostatistical Analysis: Pearson New International Edition</t>
  </si>
  <si>
    <t>Zar, Jerrold H.</t>
  </si>
  <si>
    <t>https://ebookcentral.proquest.com/lib/fudan-ebooks/detail.action?docID=5139109</t>
  </si>
  <si>
    <t>Electrical Engineering: Concepts and Applications</t>
  </si>
  <si>
    <t>Zekavat, S.A. Reza</t>
  </si>
  <si>
    <t>https://ebookcentral.proquest.com/lib/fudan-ebooks/detail.action?docID=5139111</t>
  </si>
  <si>
    <t>Diversity in Families: Pearson New International Edition</t>
  </si>
  <si>
    <t>Zinn, Maxine Baca;Eitzen, D. Stanley;Wells, Barbara; Eitzen, D. Stanley; Wells, Barbara</t>
  </si>
  <si>
    <t>https://ebookcentral.proquest.com/lib/fudan-ebooks/detail.action?docID=5139113</t>
  </si>
  <si>
    <t>Zirpoli, Thomas J.</t>
  </si>
  <si>
    <t>https://ebookcentral.proquest.com/lib/fudan-ebooks/detail.action?docID=5139114</t>
  </si>
  <si>
    <t>Life Plan, The: 700 Simple Ways to Change Your Life for the Better</t>
  </si>
  <si>
    <t>https://ebookcentral.proquest.com/lib/fudan-ebooks/detail.action?docID=5139226</t>
  </si>
  <si>
    <t>Project Managing Change: Practical Tools and Techniques to Make Change Happen</t>
  </si>
  <si>
    <t>Blake, Ira; Bush, Cindy; Bush, Cindy</t>
  </si>
  <si>
    <t>https://ebookcentral.proquest.com/lib/fudan-ebooks/detail.action?docID=5139260</t>
  </si>
  <si>
    <t>Brilliant Javascipt</t>
  </si>
  <si>
    <t>Bluttman, Ken</t>
  </si>
  <si>
    <t>https://ebookcentral.proquest.com/lib/fudan-ebooks/detail.action?docID=5139266</t>
  </si>
  <si>
    <t>Happiness Plan, The: Simple steps to a happier life</t>
  </si>
  <si>
    <t>Mcconnell, Carmel</t>
  </si>
  <si>
    <t>https://ebookcentral.proquest.com/lib/fudan-ebooks/detail.action?docID=5139543</t>
  </si>
  <si>
    <t>Brilliant Career Finder: How to Find the Right Career for You</t>
  </si>
  <si>
    <t>Monroe, Josephine</t>
  </si>
  <si>
    <t>https://ebookcentral.proquest.com/lib/fudan-ebooks/detail.action?docID=5139566</t>
  </si>
  <si>
    <t>Happy at Work: Ten Steps to Ultimate Job Satisfaction</t>
  </si>
  <si>
    <t>O'Connell, Fergus</t>
  </si>
  <si>
    <t>https://ebookcentral.proquest.com/lib/fudan-ebooks/detail.action?docID=5139587</t>
  </si>
  <si>
    <t>How to Be an Entrepreneur: The Six Secrets of Self Made Success</t>
  </si>
  <si>
    <t>https://ebookcentral.proquest.com/lib/fudan-ebooks/detail.action?docID=5139599</t>
  </si>
  <si>
    <t>Beermat Entrepreneur, The: Turn Your Good Idea into a Great Business</t>
  </si>
  <si>
    <t>Southon, Mike; West, Chris; West, Chris; Leigh, Andrew</t>
  </si>
  <si>
    <t>https://ebookcentral.proquest.com/lib/fudan-ebooks/detail.action?docID=5139659</t>
  </si>
  <si>
    <t>Start Up!: A Practical, Personal Guide to Starting a Successful Business From Absolutely Nothing</t>
  </si>
  <si>
    <t>Spain, Michael; Jackson, Liz; Spain, Michael</t>
  </si>
  <si>
    <t>https://ebookcentral.proquest.com/lib/fudan-ebooks/detail.action?docID=5139660</t>
  </si>
  <si>
    <t>Mastering Foreign Exchange and Currency Options</t>
  </si>
  <si>
    <t>Taylor, Francesca</t>
  </si>
  <si>
    <t>https://ebookcentral.proquest.com/lib/fudan-ebooks/detail.action?docID=5139685</t>
  </si>
  <si>
    <t>Think Like An Entrepreneur: Your Psychological Toolkit for Success</t>
  </si>
  <si>
    <t>West, Chris; Steinhouse, Robbie; Steinhouse, Robbie</t>
  </si>
  <si>
    <t>https://ebookcentral.proquest.com/lib/fudan-ebooks/detail.action?docID=5139717</t>
  </si>
  <si>
    <t>From Acorns: How to Build a Brilliant Business</t>
  </si>
  <si>
    <t>https://ebookcentral.proquest.com/lib/fudan-ebooks/detail.action?docID=5139745</t>
  </si>
  <si>
    <t>Smart Retail : Practical Winning Ideas and Strategies from the Most Successful Retailers in the World</t>
  </si>
  <si>
    <t>Hammond, Richard</t>
  </si>
  <si>
    <t>https://ebookcentral.proquest.com/lib/fudan-ebooks/detail.action?docID=5139749</t>
  </si>
  <si>
    <t>Mastering Investment Banking Securities : A Practical Guide to Structures, Products, Pricing and Calculations</t>
  </si>
  <si>
    <t>Kozul, Natasha</t>
  </si>
  <si>
    <t>https://ebookcentral.proquest.com/lib/fudan-ebooks/detail.action?docID=5139750</t>
  </si>
  <si>
    <t>Advanced Modern Engineering Mathematics</t>
  </si>
  <si>
    <t>James, Glyn; Burley, David; Clements, Dick; Dyke, Phil; Searl, John; Author; Wright, Jerry</t>
  </si>
  <si>
    <t>Engineering: General; Engineering; Engineering: Civil</t>
  </si>
  <si>
    <t>https://ebookcentral.proquest.com/lib/fudan-ebooks/detail.action?docID=5173564</t>
  </si>
  <si>
    <t>Organisation Design</t>
  </si>
  <si>
    <t>Worren, Nicolay</t>
  </si>
  <si>
    <t>https://ebookcentral.proquest.com/lib/fudan-ebooks/detail.action?docID=5173583</t>
  </si>
  <si>
    <t>Introduction to Research Methods and Statistics in Psychology : A practical guide for the undergraduate researcher</t>
  </si>
  <si>
    <t>McQueen, Ron; Knussen, Christina</t>
  </si>
  <si>
    <t>https://ebookcentral.proquest.com/lib/fudan-ebooks/detail.action?docID=5173618</t>
  </si>
  <si>
    <t>International Financial Management: Pearson New International Edition</t>
  </si>
  <si>
    <t>Bekaert, Geert J; Hodrick, Robert J.</t>
  </si>
  <si>
    <t>https://ebookcentral.proquest.com/lib/fudan-ebooks/detail.action?docID=5173643</t>
  </si>
  <si>
    <t>Teaching Students with Special Needs in Inclusive Settings: Pearson New International Edition</t>
  </si>
  <si>
    <t>Smith, Tom E.; Polloway, Edward A; Patton, James R.; Dowdy, Carol A.</t>
  </si>
  <si>
    <t>https://ebookcentral.proquest.com/lib/fudan-ebooks/detail.action?docID=5173668</t>
  </si>
  <si>
    <t>Using Multivariate Statistics: Pearson New International Edition</t>
  </si>
  <si>
    <t>Tabachnick, Barbara G.; Fidell, Linda S.</t>
  </si>
  <si>
    <t>https://ebookcentral.proquest.com/lib/fudan-ebooks/detail.action?docID=5173686</t>
  </si>
  <si>
    <t>Statistics and Chemometrics for Analytical Chemistry</t>
  </si>
  <si>
    <t>Miller, James; Miller, Jane C</t>
  </si>
  <si>
    <t>https://ebookcentral.proquest.com/lib/fudan-ebooks/detail.action?docID=5173699</t>
  </si>
  <si>
    <t>Statistics for Business and Economics: Pearson New International Edition</t>
  </si>
  <si>
    <t>McClave, James T.; Benson, P. George; Sincich, Terry L.</t>
  </si>
  <si>
    <t>https://ebookcentral.proquest.com/lib/fudan-ebooks/detail.action?docID=5173717</t>
  </si>
  <si>
    <t>The Study Skills Book</t>
  </si>
  <si>
    <t>McMillan, Kathleen; Weyers, Jonathan</t>
  </si>
  <si>
    <t>https://ebookcentral.proquest.com/lib/fudan-ebooks/detail.action?docID=5173731</t>
  </si>
  <si>
    <t>Foundations of Financial Markets and Institutions: Pearson New International Edition</t>
  </si>
  <si>
    <t>Fabozzi, Frank J; Modigliani, Franco P.; Jones, Frank J.</t>
  </si>
  <si>
    <t>https://ebookcentral.proquest.com/lib/fudan-ebooks/detail.action?docID=5173742</t>
  </si>
  <si>
    <t>International Corporate Governance</t>
  </si>
  <si>
    <t>Goergen, Marc</t>
  </si>
  <si>
    <t>https://ebookcentral.proquest.com/lib/fudan-ebooks/detail.action?docID=5173759</t>
  </si>
  <si>
    <t>Organizational Theory, Design, and Change: Global Edition</t>
  </si>
  <si>
    <t>Jones, Gareth R</t>
  </si>
  <si>
    <t>Social Science; Business/Management</t>
  </si>
  <si>
    <t>https://ebookcentral.proquest.com/lib/fudan-ebooks/detail.action?docID=5173859</t>
  </si>
  <si>
    <t>Tourism : Principles and Practice</t>
  </si>
  <si>
    <t>Fletcher, John; Fyall, Alan; Gilbert, David; Wanhill, Stephen</t>
  </si>
  <si>
    <t>Business/Management; Tourism/Hospitality; Economics</t>
  </si>
  <si>
    <t>https://ebookcentral.proquest.com/lib/fudan-ebooks/detail.action?docID=5173881</t>
  </si>
  <si>
    <t>How to Improve your Memory for Study</t>
  </si>
  <si>
    <t>Hancock, Jonathan</t>
  </si>
  <si>
    <t>https://ebookcentral.proquest.com/lib/fudan-ebooks/detail.action?docID=5174058</t>
  </si>
  <si>
    <t>The International Business Environment : challenges and changes</t>
  </si>
  <si>
    <t>Brooks, Ian; Weatherston, Jamie; Wilkinson, Graham</t>
  </si>
  <si>
    <t>https://ebookcentral.proquest.com/lib/fudan-ebooks/detail.action?docID=5174090</t>
  </si>
  <si>
    <t>Occupational Psychology</t>
  </si>
  <si>
    <t>Steptoe-Warren, Gail; Grant, Christine</t>
  </si>
  <si>
    <t>Business/Management; Psychology</t>
  </si>
  <si>
    <t>https://ebookcentral.proquest.com/lib/fudan-ebooks/detail.action?docID=5174152</t>
  </si>
  <si>
    <t>Calculus &amp; Its Applications: Pearson New International Edition</t>
  </si>
  <si>
    <t>Goldstein, Larry J.; Lay, David; Asmar, Nakhle I; Schneider, David I.</t>
  </si>
  <si>
    <t>https://ebookcentral.proquest.com/lib/fudan-ebooks/detail.action?docID=5174156</t>
  </si>
  <si>
    <t>Psychology Express: Conceptual and Historical Issues in Psychology (Undergraduate Revision Guide)</t>
  </si>
  <si>
    <t>Hughes, Brian M.; Upton, Dominic</t>
  </si>
  <si>
    <t>https://ebookcentral.proquest.com/lib/fudan-ebooks/detail.action?docID=5174159</t>
  </si>
  <si>
    <t>Patternmaking for Fashion Design: Pearson New International Edition</t>
  </si>
  <si>
    <t>Armstrong, Helen Joseph</t>
  </si>
  <si>
    <t>Home Economics; Fine Arts</t>
  </si>
  <si>
    <t>https://ebookcentral.proquest.com/lib/fudan-ebooks/detail.action?docID=5174492</t>
  </si>
  <si>
    <t>Discrete-Time Signal Processing: Pearson New International Edition</t>
  </si>
  <si>
    <t>Oppenheim, Alan V; Schafer, Ronald W.</t>
  </si>
  <si>
    <t>https://ebookcentral.proquest.com/lib/fudan-ebooks/detail.action?docID=5174607</t>
  </si>
  <si>
    <t>Digital Signal Processing: Pearson New International Edition</t>
  </si>
  <si>
    <t>Proakis, John G.; Manolakis, Dimitris K</t>
  </si>
  <si>
    <t>https://ebookcentral.proquest.com/lib/fudan-ebooks/detail.action?docID=5174771</t>
  </si>
  <si>
    <t>Statistical Reasoning for Everyday Life: Pearson New International Edition</t>
  </si>
  <si>
    <t>Bennett, Jeff; Briggs, William L.; Triola, Mario F.</t>
  </si>
  <si>
    <t>https://ebookcentral.proquest.com/lib/fudan-ebooks/detail.action?docID=5174790</t>
  </si>
  <si>
    <t>Modern Electronic Communication: Pearson New International Edition</t>
  </si>
  <si>
    <t>Beasley, Jeffrey S.; Miller, Gary M.</t>
  </si>
  <si>
    <t>Business/Management; Engineering: Electrical; Engineering</t>
  </si>
  <si>
    <t>https://ebookcentral.proquest.com/lib/fudan-ebooks/detail.action?docID=5174826</t>
  </si>
  <si>
    <t>Introduction to Data Mining: Pearson New International Edition</t>
  </si>
  <si>
    <t>Tan, Pang-Ning; Steinbach, Michael; Kumar, Vipin</t>
  </si>
  <si>
    <t>https://ebookcentral.proquest.com/lib/fudan-ebooks/detail.action?docID=5174845</t>
  </si>
  <si>
    <t>Statics and Strength of Materials for Architecture and Building Construction: Pearson New International Edition</t>
  </si>
  <si>
    <t>Onouye, Barry S.; Kane, Kevin</t>
  </si>
  <si>
    <t>https://ebookcentral.proquest.com/lib/fudan-ebooks/detail.action?docID=5174963</t>
  </si>
  <si>
    <t>Introductory Mathematical Analysis for Business, Economics, and the Life and Social Sciences: Pearson New International Edition</t>
  </si>
  <si>
    <t>Haeussler, Ernest F; Paul, Richard S.; Wood, Richard J.</t>
  </si>
  <si>
    <t>https://ebookcentral.proquest.com/lib/fudan-ebooks/detail.action?docID=5175651</t>
  </si>
  <si>
    <t>Introduction to Human Factors Engineering: Pearson New International Edition</t>
  </si>
  <si>
    <t>Wickens, Christopher D.; Lee, John; Liu, Yili D.; Gordon-Becker, Sallie</t>
  </si>
  <si>
    <t>https://ebookcentral.proquest.com/lib/fudan-ebooks/detail.action?docID=5175714</t>
  </si>
  <si>
    <t>Social Research Methods: Pearson New International Edition</t>
  </si>
  <si>
    <t>https://ebookcentral.proquest.com/lib/fudan-ebooks/detail.action?docID=5175740</t>
  </si>
  <si>
    <t>International Business Law: International Edition</t>
  </si>
  <si>
    <t>August, Ray A.; Mayer, Don; Bixby, Michael</t>
  </si>
  <si>
    <t>https://ebookcentral.proquest.com/lib/fudan-ebooks/detail.action?docID=5175865</t>
  </si>
  <si>
    <t>Cosmic Perspective, The: Pearson New International Edition</t>
  </si>
  <si>
    <t>Bennett, Jeffrey O.; Donahue, Megan; Schneider, Nick; Voit, Mark</t>
  </si>
  <si>
    <t>https://ebookcentral.proquest.com/lib/fudan-ebooks/detail.action?docID=5176023</t>
  </si>
  <si>
    <t>Intellectual Property</t>
  </si>
  <si>
    <t>Bainbridge, David</t>
  </si>
  <si>
    <t>https://ebookcentral.proquest.com/lib/fudan-ebooks/detail.action?docID=5176817</t>
  </si>
  <si>
    <t>How to Argue</t>
  </si>
  <si>
    <t>Bonnett, Alastair</t>
  </si>
  <si>
    <t>Literature; Language/Linguistics</t>
  </si>
  <si>
    <t>https://ebookcentral.proquest.com/lib/fudan-ebooks/detail.action?docID=5185704</t>
  </si>
  <si>
    <t>Research Methods in Criminal Justice and Criminology: Pearson New International Edition</t>
  </si>
  <si>
    <t>Hagan, Frank E.</t>
  </si>
  <si>
    <t>https://ebookcentral.proquest.com/lib/fudan-ebooks/detail.action?docID=5185870</t>
  </si>
  <si>
    <t>Carriage of Goods by Sea</t>
  </si>
  <si>
    <t>Wilson, John</t>
  </si>
  <si>
    <t>https://ebookcentral.proquest.com/lib/fudan-ebooks/detail.action?docID=5185903</t>
  </si>
  <si>
    <t>Fundamentals of Signals and Systems Using the Web and MATLAB: Pearson New International Edition</t>
  </si>
  <si>
    <t>Kamen, Edward W.; Heck, Bonnie S</t>
  </si>
  <si>
    <t>https://ebookcentral.proquest.com/lib/fudan-ebooks/detail.action?docID=5186088</t>
  </si>
  <si>
    <t>Effective Study Skills : Essential skills for academic and career success</t>
  </si>
  <si>
    <t>Price, Geraldine; Maier, Pat</t>
  </si>
  <si>
    <t>https://ebookcentral.proquest.com/lib/fudan-ebooks/detail.action?docID=5186449</t>
  </si>
  <si>
    <t>Statistical and Data Handling Skills in Biology</t>
  </si>
  <si>
    <t>Ennos, Roland</t>
  </si>
  <si>
    <t>https://ebookcentral.proquest.com/lib/fudan-ebooks/detail.action?docID=5248116</t>
  </si>
  <si>
    <t>Sargeant, Malcolm;Lewis, David</t>
  </si>
  <si>
    <t>https://ebookcentral.proquest.com/lib/fudan-ebooks/detail.action?docID=5248165</t>
  </si>
  <si>
    <t>International Business</t>
  </si>
  <si>
    <t>Rugman, Alan M.;Collinson, Simon</t>
  </si>
  <si>
    <t>https://ebookcentral.proquest.com/lib/fudan-ebooks/detail.action?docID=5248167</t>
  </si>
  <si>
    <t>Law Express: Contract Law (Revision Guide)</t>
  </si>
  <si>
    <t>https://ebookcentral.proquest.com/lib/fudan-ebooks/detail.action?docID=5248168</t>
  </si>
  <si>
    <t>Study Skills for International Students</t>
  </si>
  <si>
    <t>https://ebookcentral.proquest.com/lib/fudan-ebooks/detail.action?docID=5248170</t>
  </si>
  <si>
    <t>Brilliant Essay : International Edition</t>
  </si>
  <si>
    <t>https://ebookcentral.proquest.com/lib/fudan-ebooks/detail.action?docID=5248171</t>
  </si>
  <si>
    <t>Law for Business Students : UEL</t>
  </si>
  <si>
    <t>Adams, Alix</t>
  </si>
  <si>
    <t>https://ebookcentral.proquest.com/lib/fudan-ebooks/detail.action?docID=5248175</t>
  </si>
  <si>
    <t>Brilliant Employability Skills</t>
  </si>
  <si>
    <t>Trought, Frances</t>
  </si>
  <si>
    <t>https://ebookcentral.proquest.com/lib/fudan-ebooks/detail.action?docID=5248176</t>
  </si>
  <si>
    <t>Rules of Parenting : A personal code for bringing up happy, confident children</t>
  </si>
  <si>
    <t>https://ebookcentral.proquest.com/lib/fudan-ebooks/detail.action?docID=5248190</t>
  </si>
  <si>
    <t>Psychology Express: Personality and Individual Differences (Undergraduate Revision Guide)</t>
  </si>
  <si>
    <t>Butler, Terence;Upton, Dominic;Scurlock-Evans, Laura</t>
  </si>
  <si>
    <t>https://ebookcentral.proquest.com/lib/fudan-ebooks/detail.action?docID=5248195</t>
  </si>
  <si>
    <t>Natural Resource and Environmental Economics</t>
  </si>
  <si>
    <t>Perman, Roger;Ma, Yue;Common, Michael</t>
  </si>
  <si>
    <t>https://ebookcentral.proquest.com/lib/fudan-ebooks/detail.action?docID=5248198</t>
  </si>
  <si>
    <t>How to Improve your Critical Thinking &amp; Reflective Skills</t>
  </si>
  <si>
    <t>https://ebookcentral.proquest.com/lib/fudan-ebooks/detail.action?docID=5248200</t>
  </si>
  <si>
    <t>Medical Law and Ethics</t>
  </si>
  <si>
    <t>Bell, Leanne</t>
  </si>
  <si>
    <t>https://ebookcentral.proquest.com/lib/fudan-ebooks/detail.action?docID=5248202</t>
  </si>
  <si>
    <t>How to Write Better Law Essays</t>
  </si>
  <si>
    <t>Foster, Steve</t>
  </si>
  <si>
    <t>https://ebookcentral.proquest.com/lib/fudan-ebooks/detail.action?docID=5248203</t>
  </si>
  <si>
    <t>Accounting Information Systems: Global Edition</t>
  </si>
  <si>
    <t>Romney, Marshall B;Steinbart, Paul J</t>
  </si>
  <si>
    <t>https://ebookcentral.proquest.com/lib/fudan-ebooks/detail.action?docID=5248207</t>
  </si>
  <si>
    <t>Cost Accounting: Global Edition</t>
  </si>
  <si>
    <t>Horngren, Charles;Datar, Srikant M.;Rajan, Madhav</t>
  </si>
  <si>
    <t>https://ebookcentral.proquest.com/lib/fudan-ebooks/detail.action?docID=5248208</t>
  </si>
  <si>
    <t>Digital Media Primer: International Edition</t>
  </si>
  <si>
    <t>Wong, Yue-Ling</t>
  </si>
  <si>
    <t>https://ebookcentral.proquest.com/lib/fudan-ebooks/detail.action?docID=5248210</t>
  </si>
  <si>
    <t>Web Development and Design Foundations with HTML5: International Edition</t>
  </si>
  <si>
    <t>Felke-Morris, Terry</t>
  </si>
  <si>
    <t>https://ebookcentral.proquest.com/lib/fudan-ebooks/detail.action?docID=5248211</t>
  </si>
  <si>
    <t>Consumer Behaviour</t>
  </si>
  <si>
    <t>Solomon, Michael R.;Bamossy, Gary;Askegaard, S¿ren</t>
  </si>
  <si>
    <t>https://ebookcentral.proquest.com/lib/fudan-ebooks/detail.action?docID=5248215</t>
  </si>
  <si>
    <t>Contemporary Human Resource Management : Text and Cases</t>
  </si>
  <si>
    <t>Redman, Tom;Wilkinson, Adrian</t>
  </si>
  <si>
    <t>https://ebookcentral.proquest.com/lib/fudan-ebooks/detail.action?docID=5248219</t>
  </si>
  <si>
    <t>Marketing Communications : A European Perspective</t>
  </si>
  <si>
    <t>De Pelsmacker, Patrick;Geuens, Maggie;Van Den Bergh, Joeri</t>
  </si>
  <si>
    <t>https://ebookcentral.proquest.com/lib/fudan-ebooks/detail.action?docID=5248220</t>
  </si>
  <si>
    <t>English Legal System 14th edn : BPP</t>
  </si>
  <si>
    <t>https://ebookcentral.proquest.com/lib/fudan-ebooks/detail.action?docID=5248234</t>
  </si>
  <si>
    <t>Leadership in Organizations Global Edition</t>
  </si>
  <si>
    <t>Yukl, Gary</t>
  </si>
  <si>
    <t>https://ebookcentral.proquest.com/lib/fudan-ebooks/detail.action?docID=5248236</t>
  </si>
  <si>
    <t>Data Abstraction &amp; Problem Solving with C++: International Edition</t>
  </si>
  <si>
    <t>Carrano, Frank M.;Henry, Timothy</t>
  </si>
  <si>
    <t>https://ebookcentral.proquest.com/lib/fudan-ebooks/detail.action?docID=5248239</t>
  </si>
  <si>
    <t>Introduction to Behavioral Research Methods: Pearson New International Edition</t>
  </si>
  <si>
    <t>Leary, Mark R.</t>
  </si>
  <si>
    <t>https://ebookcentral.proquest.com/lib/fudan-ebooks/detail.action?docID=5248241</t>
  </si>
  <si>
    <t>Zimbardo, Philip G.;Johnson, Robert L.;McCann, Vivian</t>
  </si>
  <si>
    <t>https://ebookcentral.proquest.com/lib/fudan-ebooks/detail.action?docID=5248244</t>
  </si>
  <si>
    <t>Practical Research: Pearson New International Edition</t>
  </si>
  <si>
    <t>Leedy, Paul D.;Ormrod, Jeanne Ellis</t>
  </si>
  <si>
    <t>https://ebookcentral.proquest.com/lib/fudan-ebooks/detail.action?docID=5248245</t>
  </si>
  <si>
    <t>Classroom Assessment for Student Learning: Pearson New International Edition</t>
  </si>
  <si>
    <t>Chappuis, Jan;Stiggins, Rick J.;Chappuis, Steve</t>
  </si>
  <si>
    <t>https://ebookcentral.proquest.com/lib/fudan-ebooks/detail.action?docID=5248248</t>
  </si>
  <si>
    <t>Including Students with Special Needs: Pearson New International Edition</t>
  </si>
  <si>
    <t>Friend, Marilyn;Bursuck, William D.</t>
  </si>
  <si>
    <t>https://ebookcentral.proquest.com/lib/fudan-ebooks/detail.action?docID=5248250</t>
  </si>
  <si>
    <t>Perspectives on Personality: Pearson New International Edition</t>
  </si>
  <si>
    <t>Carver, Charles S.;Scheier, Michael F.</t>
  </si>
  <si>
    <t>https://ebookcentral.proquest.com/lib/fudan-ebooks/detail.action?docID=5248251</t>
  </si>
  <si>
    <t>Words Their Way: Pearson New International Edition</t>
  </si>
  <si>
    <t>Invernizzi, Marcia R.;Johnston, Francine R.;Bear, Donald R.</t>
  </si>
  <si>
    <t>https://ebookcentral.proquest.com/lib/fudan-ebooks/detail.action?docID=5248252</t>
  </si>
  <si>
    <t>https://ebookcentral.proquest.com/lib/fudan-ebooks/detail.action?docID=5248253</t>
  </si>
  <si>
    <t>McClave, James T.;Sincich, Terry</t>
  </si>
  <si>
    <t>https://ebookcentral.proquest.com/lib/fudan-ebooks/detail.action?docID=5248255</t>
  </si>
  <si>
    <t>Introduction to Modern Astrophysics, An: Pearson New International Edition</t>
  </si>
  <si>
    <t>Carroll, Bradley W.;Ostlie, Dale A.</t>
  </si>
  <si>
    <t>https://ebookcentral.proquest.com/lib/fudan-ebooks/detail.action?docID=5248256</t>
  </si>
  <si>
    <t>Lannon, John M.;Gurak, Laura J</t>
  </si>
  <si>
    <t>https://ebookcentral.proquest.com/lib/fudan-ebooks/detail.action?docID=5248257</t>
  </si>
  <si>
    <t>Financial Management: Pearson New International Edition</t>
  </si>
  <si>
    <t>Titman, Sheridan;Keown, Arthur J;Martin, John D.</t>
  </si>
  <si>
    <t>https://ebookcentral.proquest.com/lib/fudan-ebooks/detail.action?docID=5248258</t>
  </si>
  <si>
    <t>Criminology Today: Pearson New International Edition</t>
  </si>
  <si>
    <t>https://ebookcentral.proquest.com/lib/fudan-ebooks/detail.action?docID=5248261</t>
  </si>
  <si>
    <t>Social Science: Pearson New International Edition</t>
  </si>
  <si>
    <t>Hunt, Elgin F.;Colander, David C.</t>
  </si>
  <si>
    <t>https://ebookcentral.proquest.com/lib/fudan-ebooks/detail.action?docID=5248262</t>
  </si>
  <si>
    <t>Fundamentals of Differential Equations and Boundary Value Problems: Pearson New International Edition</t>
  </si>
  <si>
    <t>Nagle, R Kent;Saff, Edward;Snider, David</t>
  </si>
  <si>
    <t>https://ebookcentral.proquest.com/lib/fudan-ebooks/detail.action?docID=5248263</t>
  </si>
  <si>
    <t>Essentials of Anatomy &amp; Physiology: Pearson New International Edition</t>
  </si>
  <si>
    <t>Martini, Frederic H.;Bartholomew, Edwin F.</t>
  </si>
  <si>
    <t>https://ebookcentral.proquest.com/lib/fudan-ebooks/detail.action?docID=5248265</t>
  </si>
  <si>
    <t>Velasquez, Manuel G.</t>
  </si>
  <si>
    <t>https://ebookcentral.proquest.com/lib/fudan-ebooks/detail.action?docID=5248266</t>
  </si>
  <si>
    <t>Language Arts: Pearson New International Edition</t>
  </si>
  <si>
    <t>https://ebookcentral.proquest.com/lib/fudan-ebooks/detail.action?docID=5248268</t>
  </si>
  <si>
    <t>Fundamentals of Database Systems: Pearson New International Edition</t>
  </si>
  <si>
    <t>Elmasri, Ramez;Navathe, Shamkant</t>
  </si>
  <si>
    <t>https://ebookcentral.proquest.com/lib/fudan-ebooks/detail.action?docID=5248269</t>
  </si>
  <si>
    <t>First Course in Abstract Algebra, A: Pearson New International Edition</t>
  </si>
  <si>
    <t>Fraleigh, John B.</t>
  </si>
  <si>
    <t>https://ebookcentral.proquest.com/lib/fudan-ebooks/detail.action?docID=5248273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</si>
</sst>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3"/>
  <sheetViews>
    <sheetView tabSelected="1" topLeftCell="B1" workbookViewId="0">
      <selection activeCell="G1" sqref="G1:G1048576"/>
    </sheetView>
  </sheetViews>
  <sheetFormatPr defaultRowHeight="13.5" x14ac:dyDescent="0.15"/>
  <cols>
    <col min="1" max="1" width="8" hidden="1" customWidth="1"/>
    <col min="2" max="2" width="34.5" customWidth="1"/>
    <col min="3" max="3" width="12" customWidth="1"/>
    <col min="5" max="5" width="7" customWidth="1"/>
    <col min="6" max="6" width="14.125" customWidth="1"/>
    <col min="9" max="9" width="19.375" customWidth="1"/>
    <col min="10" max="10" width="15.375" customWidth="1"/>
    <col min="11" max="11" width="14.125" customWidth="1"/>
    <col min="12" max="12" width="26.625" customWidth="1"/>
    <col min="13" max="13" width="11.75" customWidth="1"/>
  </cols>
  <sheetData>
    <row r="1" spans="1:13" x14ac:dyDescent="0.1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2</v>
      </c>
      <c r="K1" t="s">
        <v>3</v>
      </c>
      <c r="L1" t="s">
        <v>4</v>
      </c>
      <c r="M1" t="s">
        <v>5</v>
      </c>
    </row>
    <row r="2" spans="1:13" x14ac:dyDescent="0.15">
      <c r="A2">
        <v>4789156</v>
      </c>
      <c r="B2" t="s">
        <v>13</v>
      </c>
      <c r="C2" s="1">
        <v>41481</v>
      </c>
      <c r="D2">
        <v>3</v>
      </c>
      <c r="F2" t="s">
        <v>16</v>
      </c>
      <c r="G2" t="s">
        <v>17</v>
      </c>
      <c r="H2" t="s">
        <v>18</v>
      </c>
      <c r="I2" t="s">
        <v>19</v>
      </c>
      <c r="J2" t="str">
        <f>"9781292026053"</f>
        <v>9781292026053</v>
      </c>
      <c r="K2" t="str">
        <f>"9781292038469"</f>
        <v>9781292038469</v>
      </c>
      <c r="L2" t="s">
        <v>14</v>
      </c>
      <c r="M2" t="s">
        <v>15</v>
      </c>
    </row>
    <row r="3" spans="1:13" x14ac:dyDescent="0.15">
      <c r="A3">
        <v>4789158</v>
      </c>
      <c r="B3" t="s">
        <v>20</v>
      </c>
      <c r="C3" s="1">
        <v>41478</v>
      </c>
      <c r="F3" t="s">
        <v>21</v>
      </c>
      <c r="G3" t="s">
        <v>22</v>
      </c>
      <c r="H3" t="s">
        <v>18</v>
      </c>
      <c r="I3" t="s">
        <v>23</v>
      </c>
      <c r="J3" t="str">
        <f>"9781292025636"</f>
        <v>9781292025636</v>
      </c>
      <c r="K3" t="str">
        <f>"9781292038063"</f>
        <v>9781292038063</v>
      </c>
      <c r="L3" t="s">
        <v>14</v>
      </c>
      <c r="M3" t="s">
        <v>15</v>
      </c>
    </row>
    <row r="4" spans="1:13" x14ac:dyDescent="0.15">
      <c r="A4">
        <v>5133209</v>
      </c>
      <c r="B4" t="s">
        <v>24</v>
      </c>
      <c r="C4" s="1">
        <v>40909</v>
      </c>
      <c r="D4">
        <v>3</v>
      </c>
      <c r="F4" t="s">
        <v>26</v>
      </c>
      <c r="G4" t="s">
        <v>27</v>
      </c>
      <c r="H4" t="s">
        <v>18</v>
      </c>
      <c r="I4" t="s">
        <v>28</v>
      </c>
      <c r="J4" t="str">
        <f>"9781408296011"</f>
        <v>9781408296011</v>
      </c>
      <c r="K4" t="str">
        <f>"9781408296080"</f>
        <v>9781408296080</v>
      </c>
      <c r="L4" t="s">
        <v>25</v>
      </c>
      <c r="M4" t="s">
        <v>15</v>
      </c>
    </row>
    <row r="5" spans="1:13" x14ac:dyDescent="0.15">
      <c r="A5">
        <v>5136200</v>
      </c>
      <c r="B5" t="s">
        <v>29</v>
      </c>
      <c r="C5" s="1">
        <v>41486</v>
      </c>
      <c r="D5">
        <v>1</v>
      </c>
      <c r="F5" t="s">
        <v>31</v>
      </c>
      <c r="H5" t="s">
        <v>18</v>
      </c>
      <c r="I5" t="s">
        <v>32</v>
      </c>
      <c r="J5" t="str">
        <f>""</f>
        <v/>
      </c>
      <c r="K5" t="str">
        <f>"9780273746607"</f>
        <v>9780273746607</v>
      </c>
      <c r="L5" t="s">
        <v>25</v>
      </c>
      <c r="M5" t="s">
        <v>30</v>
      </c>
    </row>
    <row r="6" spans="1:13" x14ac:dyDescent="0.15">
      <c r="A6">
        <v>5136208</v>
      </c>
      <c r="B6" t="s">
        <v>33</v>
      </c>
      <c r="C6" s="1">
        <v>41151</v>
      </c>
      <c r="D6">
        <v>3</v>
      </c>
      <c r="F6" t="s">
        <v>35</v>
      </c>
      <c r="G6" t="s">
        <v>36</v>
      </c>
      <c r="H6" t="s">
        <v>18</v>
      </c>
      <c r="I6" t="s">
        <v>37</v>
      </c>
      <c r="J6" t="str">
        <f>"9780273772255"</f>
        <v>9780273772255</v>
      </c>
      <c r="K6" t="str">
        <f>"9780273772330"</f>
        <v>9780273772330</v>
      </c>
      <c r="L6" t="s">
        <v>25</v>
      </c>
      <c r="M6" t="s">
        <v>34</v>
      </c>
    </row>
    <row r="7" spans="1:13" x14ac:dyDescent="0.15">
      <c r="A7">
        <v>5136209</v>
      </c>
      <c r="B7" t="s">
        <v>38</v>
      </c>
      <c r="C7" s="1">
        <v>40849</v>
      </c>
      <c r="D7">
        <v>1</v>
      </c>
      <c r="F7" t="s">
        <v>35</v>
      </c>
      <c r="G7" t="s">
        <v>36</v>
      </c>
      <c r="H7" t="s">
        <v>18</v>
      </c>
      <c r="I7" t="s">
        <v>40</v>
      </c>
      <c r="J7" t="str">
        <f>"9780273732815"</f>
        <v>9780273732815</v>
      </c>
      <c r="K7" t="str">
        <f>"9780273732822"</f>
        <v>9780273732822</v>
      </c>
      <c r="L7" t="s">
        <v>25</v>
      </c>
      <c r="M7" t="s">
        <v>39</v>
      </c>
    </row>
    <row r="8" spans="1:13" x14ac:dyDescent="0.15">
      <c r="A8">
        <v>5136214</v>
      </c>
      <c r="B8" t="s">
        <v>41</v>
      </c>
      <c r="C8" s="1">
        <v>41480</v>
      </c>
      <c r="D8">
        <v>1</v>
      </c>
      <c r="F8" t="s">
        <v>42</v>
      </c>
      <c r="G8" t="s">
        <v>36</v>
      </c>
      <c r="H8" t="s">
        <v>18</v>
      </c>
      <c r="I8" t="s">
        <v>43</v>
      </c>
      <c r="J8" t="str">
        <f>"9780273757986"</f>
        <v>9780273757986</v>
      </c>
      <c r="K8" t="str">
        <f>"9780273758488"</f>
        <v>9780273758488</v>
      </c>
      <c r="L8" t="s">
        <v>25</v>
      </c>
      <c r="M8" t="s">
        <v>39</v>
      </c>
    </row>
    <row r="9" spans="1:13" x14ac:dyDescent="0.15">
      <c r="A9">
        <v>5136219</v>
      </c>
      <c r="B9" t="s">
        <v>44</v>
      </c>
      <c r="C9" s="1">
        <v>41275</v>
      </c>
      <c r="D9">
        <v>1</v>
      </c>
      <c r="F9" t="s">
        <v>45</v>
      </c>
      <c r="G9" t="s">
        <v>36</v>
      </c>
      <c r="H9" t="s">
        <v>18</v>
      </c>
      <c r="I9" t="s">
        <v>46</v>
      </c>
      <c r="J9" t="str">
        <f>""</f>
        <v/>
      </c>
      <c r="K9" t="str">
        <f>"9780273779087"</f>
        <v>9780273779087</v>
      </c>
      <c r="L9" t="s">
        <v>25</v>
      </c>
      <c r="M9" t="s">
        <v>15</v>
      </c>
    </row>
    <row r="10" spans="1:13" x14ac:dyDescent="0.15">
      <c r="A10">
        <v>5136220</v>
      </c>
      <c r="B10" t="s">
        <v>47</v>
      </c>
      <c r="C10" s="1">
        <v>41480</v>
      </c>
      <c r="D10">
        <v>2</v>
      </c>
      <c r="F10" t="s">
        <v>48</v>
      </c>
      <c r="H10" t="s">
        <v>18</v>
      </c>
      <c r="I10" t="s">
        <v>49</v>
      </c>
      <c r="J10" t="str">
        <f>""</f>
        <v/>
      </c>
      <c r="K10" t="str">
        <f>"9780273730415"</f>
        <v>9780273730415</v>
      </c>
      <c r="L10" t="s">
        <v>25</v>
      </c>
      <c r="M10" t="s">
        <v>39</v>
      </c>
    </row>
    <row r="11" spans="1:13" x14ac:dyDescent="0.15">
      <c r="A11">
        <v>5136225</v>
      </c>
      <c r="B11" t="s">
        <v>50</v>
      </c>
      <c r="C11" s="1">
        <v>41486</v>
      </c>
      <c r="D11">
        <v>1</v>
      </c>
      <c r="F11" t="s">
        <v>52</v>
      </c>
      <c r="H11" t="s">
        <v>18</v>
      </c>
      <c r="I11" t="s">
        <v>53</v>
      </c>
      <c r="J11" t="str">
        <f>""</f>
        <v/>
      </c>
      <c r="K11" t="str">
        <f>"9780273763079"</f>
        <v>9780273763079</v>
      </c>
      <c r="L11" t="s">
        <v>25</v>
      </c>
      <c r="M11" t="s">
        <v>51</v>
      </c>
    </row>
    <row r="12" spans="1:13" x14ac:dyDescent="0.15">
      <c r="A12">
        <v>5136236</v>
      </c>
      <c r="B12" t="s">
        <v>54</v>
      </c>
      <c r="C12" s="1">
        <v>41480</v>
      </c>
      <c r="D12">
        <v>1</v>
      </c>
      <c r="F12" t="s">
        <v>55</v>
      </c>
      <c r="H12" t="s">
        <v>18</v>
      </c>
      <c r="I12" t="s">
        <v>56</v>
      </c>
      <c r="J12" t="str">
        <f>""</f>
        <v/>
      </c>
      <c r="K12" t="str">
        <f>"9780273762911"</f>
        <v>9780273762911</v>
      </c>
      <c r="L12" t="s">
        <v>25</v>
      </c>
      <c r="M12" t="s">
        <v>30</v>
      </c>
    </row>
    <row r="13" spans="1:13" x14ac:dyDescent="0.15">
      <c r="A13">
        <v>5136252</v>
      </c>
      <c r="B13" t="s">
        <v>57</v>
      </c>
      <c r="C13" s="1">
        <v>41480</v>
      </c>
      <c r="D13">
        <v>1</v>
      </c>
      <c r="F13" t="s">
        <v>58</v>
      </c>
      <c r="H13" t="s">
        <v>18</v>
      </c>
      <c r="I13" t="s">
        <v>59</v>
      </c>
      <c r="J13" t="str">
        <f>""</f>
        <v/>
      </c>
      <c r="K13" t="str">
        <f>"9780273759065"</f>
        <v>9780273759065</v>
      </c>
      <c r="L13" t="s">
        <v>25</v>
      </c>
      <c r="M13" t="s">
        <v>34</v>
      </c>
    </row>
    <row r="14" spans="1:13" x14ac:dyDescent="0.15">
      <c r="A14">
        <v>5136253</v>
      </c>
      <c r="B14" t="s">
        <v>60</v>
      </c>
      <c r="C14" s="1">
        <v>41275</v>
      </c>
      <c r="D14">
        <v>2</v>
      </c>
      <c r="F14" t="s">
        <v>61</v>
      </c>
      <c r="G14" t="s">
        <v>36</v>
      </c>
      <c r="H14" t="s">
        <v>18</v>
      </c>
      <c r="I14" t="s">
        <v>62</v>
      </c>
      <c r="J14" t="str">
        <f>"9780273768661"</f>
        <v>9780273768661</v>
      </c>
      <c r="K14" t="str">
        <f>"9780273769927"</f>
        <v>9780273769927</v>
      </c>
      <c r="L14" t="s">
        <v>25</v>
      </c>
      <c r="M14" t="s">
        <v>15</v>
      </c>
    </row>
    <row r="15" spans="1:13" x14ac:dyDescent="0.15">
      <c r="A15">
        <v>5136254</v>
      </c>
      <c r="B15" t="s">
        <v>63</v>
      </c>
      <c r="C15" s="1">
        <v>41305</v>
      </c>
      <c r="D15">
        <v>1</v>
      </c>
      <c r="F15" t="s">
        <v>64</v>
      </c>
      <c r="G15" t="s">
        <v>65</v>
      </c>
      <c r="H15" t="s">
        <v>18</v>
      </c>
      <c r="I15" t="s">
        <v>66</v>
      </c>
      <c r="J15" t="str">
        <f>"9780273784364"</f>
        <v>9780273784364</v>
      </c>
      <c r="K15" t="str">
        <f>"9780273788829"</f>
        <v>9780273788829</v>
      </c>
      <c r="L15" t="s">
        <v>25</v>
      </c>
      <c r="M15" t="s">
        <v>15</v>
      </c>
    </row>
    <row r="16" spans="1:13" x14ac:dyDescent="0.15">
      <c r="A16">
        <v>5136256</v>
      </c>
      <c r="B16" t="s">
        <v>67</v>
      </c>
      <c r="C16" s="1">
        <v>41486</v>
      </c>
      <c r="D16">
        <v>1</v>
      </c>
      <c r="F16" t="s">
        <v>68</v>
      </c>
      <c r="H16" t="s">
        <v>18</v>
      </c>
      <c r="I16" t="s">
        <v>69</v>
      </c>
      <c r="J16" t="str">
        <f>""</f>
        <v/>
      </c>
      <c r="K16" t="str">
        <f>"9780273750680"</f>
        <v>9780273750680</v>
      </c>
      <c r="L16" t="s">
        <v>25</v>
      </c>
      <c r="M16" t="s">
        <v>51</v>
      </c>
    </row>
    <row r="17" spans="1:13" x14ac:dyDescent="0.15">
      <c r="A17">
        <v>5136257</v>
      </c>
      <c r="B17" t="s">
        <v>70</v>
      </c>
      <c r="C17" s="1">
        <v>41486</v>
      </c>
      <c r="D17">
        <v>1</v>
      </c>
      <c r="F17" t="s">
        <v>71</v>
      </c>
      <c r="H17" t="s">
        <v>18</v>
      </c>
      <c r="I17" t="s">
        <v>72</v>
      </c>
      <c r="J17" t="str">
        <f>""</f>
        <v/>
      </c>
      <c r="K17" t="str">
        <f>"9780273755685"</f>
        <v>9780273755685</v>
      </c>
      <c r="L17" t="s">
        <v>25</v>
      </c>
      <c r="M17" t="s">
        <v>39</v>
      </c>
    </row>
    <row r="18" spans="1:13" x14ac:dyDescent="0.15">
      <c r="A18">
        <v>5136258</v>
      </c>
      <c r="B18" t="s">
        <v>73</v>
      </c>
      <c r="C18" s="1">
        <v>41480</v>
      </c>
      <c r="D18">
        <v>1</v>
      </c>
      <c r="F18" t="s">
        <v>75</v>
      </c>
      <c r="H18" t="s">
        <v>18</v>
      </c>
      <c r="I18" t="s">
        <v>76</v>
      </c>
      <c r="J18" t="str">
        <f>""</f>
        <v/>
      </c>
      <c r="K18" t="str">
        <f>"9780273771173"</f>
        <v>9780273771173</v>
      </c>
      <c r="L18" t="s">
        <v>25</v>
      </c>
      <c r="M18" t="s">
        <v>74</v>
      </c>
    </row>
    <row r="19" spans="1:13" x14ac:dyDescent="0.15">
      <c r="A19">
        <v>5136260</v>
      </c>
      <c r="B19" t="s">
        <v>77</v>
      </c>
      <c r="C19" s="1">
        <v>41480</v>
      </c>
      <c r="D19">
        <v>3</v>
      </c>
      <c r="F19" t="s">
        <v>78</v>
      </c>
      <c r="H19" t="s">
        <v>18</v>
      </c>
      <c r="I19" t="s">
        <v>79</v>
      </c>
      <c r="J19" t="str">
        <f>""</f>
        <v/>
      </c>
      <c r="K19" t="str">
        <f>"9780273750598"</f>
        <v>9780273750598</v>
      </c>
      <c r="L19" t="s">
        <v>25</v>
      </c>
      <c r="M19" t="s">
        <v>39</v>
      </c>
    </row>
    <row r="20" spans="1:13" x14ac:dyDescent="0.15">
      <c r="A20">
        <v>5136268</v>
      </c>
      <c r="B20" t="s">
        <v>80</v>
      </c>
      <c r="C20" s="1">
        <v>41480</v>
      </c>
      <c r="D20">
        <v>2</v>
      </c>
      <c r="F20" t="s">
        <v>81</v>
      </c>
      <c r="H20" t="s">
        <v>18</v>
      </c>
      <c r="I20" t="s">
        <v>82</v>
      </c>
      <c r="J20" t="str">
        <f>""</f>
        <v/>
      </c>
      <c r="K20" t="str">
        <f>"9780273763024"</f>
        <v>9780273763024</v>
      </c>
      <c r="L20" t="s">
        <v>25</v>
      </c>
      <c r="M20" t="s">
        <v>30</v>
      </c>
    </row>
    <row r="21" spans="1:13" x14ac:dyDescent="0.15">
      <c r="A21">
        <v>5136276</v>
      </c>
      <c r="B21" t="s">
        <v>83</v>
      </c>
      <c r="C21" s="1">
        <v>38127</v>
      </c>
      <c r="D21">
        <v>2</v>
      </c>
      <c r="F21" t="s">
        <v>84</v>
      </c>
      <c r="G21" t="s">
        <v>65</v>
      </c>
      <c r="H21" t="s">
        <v>18</v>
      </c>
      <c r="I21" t="s">
        <v>85</v>
      </c>
      <c r="J21" t="str">
        <f>"9781843040293"</f>
        <v>9781843040293</v>
      </c>
      <c r="K21" t="str">
        <f>"9781405893985"</f>
        <v>9781405893985</v>
      </c>
      <c r="L21" t="s">
        <v>25</v>
      </c>
      <c r="M21" t="s">
        <v>25</v>
      </c>
    </row>
    <row r="22" spans="1:13" x14ac:dyDescent="0.15">
      <c r="A22">
        <v>5136277</v>
      </c>
      <c r="B22" t="s">
        <v>86</v>
      </c>
      <c r="C22" s="1">
        <v>40402</v>
      </c>
      <c r="D22">
        <v>1</v>
      </c>
      <c r="F22" t="s">
        <v>87</v>
      </c>
      <c r="G22" t="s">
        <v>65</v>
      </c>
      <c r="H22" t="s">
        <v>18</v>
      </c>
      <c r="I22" t="s">
        <v>88</v>
      </c>
      <c r="J22" t="str">
        <f>"9780273738497"</f>
        <v>9780273738497</v>
      </c>
      <c r="K22" t="str">
        <f>"9780273738503"</f>
        <v>9780273738503</v>
      </c>
      <c r="L22" t="s">
        <v>25</v>
      </c>
      <c r="M22" t="s">
        <v>51</v>
      </c>
    </row>
    <row r="23" spans="1:13" x14ac:dyDescent="0.15">
      <c r="A23">
        <v>5136290</v>
      </c>
      <c r="B23" t="s">
        <v>89</v>
      </c>
      <c r="C23" s="1">
        <v>40162</v>
      </c>
      <c r="D23">
        <v>1</v>
      </c>
      <c r="F23" t="s">
        <v>90</v>
      </c>
      <c r="G23" t="s">
        <v>65</v>
      </c>
      <c r="H23" t="s">
        <v>18</v>
      </c>
      <c r="I23" t="s">
        <v>91</v>
      </c>
      <c r="J23" t="str">
        <f>"9780273724537"</f>
        <v>9780273724537</v>
      </c>
      <c r="K23" t="str">
        <f>"9780273724612"</f>
        <v>9780273724612</v>
      </c>
      <c r="L23" t="s">
        <v>25</v>
      </c>
      <c r="M23" t="s">
        <v>30</v>
      </c>
    </row>
    <row r="24" spans="1:13" x14ac:dyDescent="0.15">
      <c r="A24">
        <v>5136291</v>
      </c>
      <c r="B24" t="s">
        <v>92</v>
      </c>
      <c r="C24" s="1">
        <v>40162</v>
      </c>
      <c r="D24">
        <v>1</v>
      </c>
      <c r="F24" t="s">
        <v>90</v>
      </c>
      <c r="G24" t="s">
        <v>65</v>
      </c>
      <c r="H24" t="s">
        <v>18</v>
      </c>
      <c r="I24" t="s">
        <v>93</v>
      </c>
      <c r="J24" t="str">
        <f>"9780273724650"</f>
        <v>9780273724650</v>
      </c>
      <c r="K24" t="str">
        <f>"9780273724667"</f>
        <v>9780273724667</v>
      </c>
      <c r="L24" t="s">
        <v>25</v>
      </c>
      <c r="M24" t="s">
        <v>30</v>
      </c>
    </row>
    <row r="25" spans="1:13" x14ac:dyDescent="0.15">
      <c r="A25">
        <v>5136298</v>
      </c>
      <c r="B25" t="s">
        <v>94</v>
      </c>
      <c r="C25" s="1">
        <v>39114</v>
      </c>
      <c r="D25">
        <v>3</v>
      </c>
      <c r="F25" t="s">
        <v>95</v>
      </c>
      <c r="G25" t="s">
        <v>36</v>
      </c>
      <c r="H25" t="s">
        <v>18</v>
      </c>
      <c r="I25" t="s">
        <v>96</v>
      </c>
      <c r="J25" t="str">
        <f>"9780273710202"</f>
        <v>9780273710202</v>
      </c>
      <c r="K25" t="str">
        <f>"9781408212790"</f>
        <v>9781408212790</v>
      </c>
      <c r="L25" t="s">
        <v>25</v>
      </c>
      <c r="M25" t="s">
        <v>25</v>
      </c>
    </row>
    <row r="26" spans="1:13" x14ac:dyDescent="0.15">
      <c r="A26">
        <v>5136326</v>
      </c>
      <c r="B26" t="s">
        <v>97</v>
      </c>
      <c r="C26" s="1">
        <v>40668</v>
      </c>
      <c r="D26">
        <v>1</v>
      </c>
      <c r="F26" t="s">
        <v>99</v>
      </c>
      <c r="G26" t="s">
        <v>65</v>
      </c>
      <c r="H26" t="s">
        <v>18</v>
      </c>
      <c r="I26" t="s">
        <v>100</v>
      </c>
      <c r="J26" t="str">
        <f>"9780273751007"</f>
        <v>9780273751007</v>
      </c>
      <c r="K26" t="str">
        <f>"9780273751014"</f>
        <v>9780273751014</v>
      </c>
      <c r="L26" t="s">
        <v>25</v>
      </c>
      <c r="M26" t="s">
        <v>98</v>
      </c>
    </row>
    <row r="27" spans="1:13" x14ac:dyDescent="0.15">
      <c r="A27">
        <v>5136337</v>
      </c>
      <c r="B27" t="s">
        <v>101</v>
      </c>
      <c r="C27" s="1">
        <v>41584</v>
      </c>
      <c r="D27">
        <v>7</v>
      </c>
      <c r="F27" t="s">
        <v>102</v>
      </c>
      <c r="H27" t="s">
        <v>18</v>
      </c>
      <c r="I27" t="s">
        <v>103</v>
      </c>
      <c r="J27" t="str">
        <f>""</f>
        <v/>
      </c>
      <c r="K27" t="str">
        <f>"9780273788430"</f>
        <v>9780273788430</v>
      </c>
      <c r="L27" t="s">
        <v>25</v>
      </c>
      <c r="M27" t="s">
        <v>15</v>
      </c>
    </row>
    <row r="28" spans="1:13" x14ac:dyDescent="0.15">
      <c r="A28">
        <v>5136338</v>
      </c>
      <c r="B28" t="s">
        <v>104</v>
      </c>
      <c r="C28" s="1">
        <v>41065</v>
      </c>
      <c r="D28">
        <v>2</v>
      </c>
      <c r="F28" t="s">
        <v>105</v>
      </c>
      <c r="G28" t="s">
        <v>36</v>
      </c>
      <c r="H28" t="s">
        <v>18</v>
      </c>
      <c r="I28" t="s">
        <v>106</v>
      </c>
      <c r="J28" t="str">
        <f>"9780273776581"</f>
        <v>9780273776581</v>
      </c>
      <c r="K28" t="str">
        <f>"9780273776598"</f>
        <v>9780273776598</v>
      </c>
      <c r="L28" t="s">
        <v>25</v>
      </c>
      <c r="M28" t="s">
        <v>15</v>
      </c>
    </row>
    <row r="29" spans="1:13" x14ac:dyDescent="0.15">
      <c r="A29">
        <v>5136339</v>
      </c>
      <c r="B29" t="s">
        <v>107</v>
      </c>
      <c r="C29" s="1">
        <v>41032</v>
      </c>
      <c r="D29">
        <v>2</v>
      </c>
      <c r="F29" t="s">
        <v>105</v>
      </c>
      <c r="G29" t="s">
        <v>36</v>
      </c>
      <c r="H29" t="s">
        <v>18</v>
      </c>
      <c r="I29" t="s">
        <v>108</v>
      </c>
      <c r="J29" t="str">
        <f>"9780273776628"</f>
        <v>9780273776628</v>
      </c>
      <c r="K29" t="str">
        <f>"9780273776635"</f>
        <v>9780273776635</v>
      </c>
      <c r="L29" t="s">
        <v>25</v>
      </c>
      <c r="M29" t="s">
        <v>15</v>
      </c>
    </row>
    <row r="30" spans="1:13" x14ac:dyDescent="0.15">
      <c r="A30">
        <v>5136340</v>
      </c>
      <c r="B30" t="s">
        <v>109</v>
      </c>
      <c r="C30" s="1">
        <v>41157</v>
      </c>
      <c r="D30">
        <v>2</v>
      </c>
      <c r="F30" t="s">
        <v>105</v>
      </c>
      <c r="G30" t="s">
        <v>36</v>
      </c>
      <c r="H30" t="s">
        <v>18</v>
      </c>
      <c r="I30" t="s">
        <v>110</v>
      </c>
      <c r="J30" t="str">
        <f>"9780273776666"</f>
        <v>9780273776666</v>
      </c>
      <c r="K30" t="str">
        <f>"9780273776673"</f>
        <v>9780273776673</v>
      </c>
      <c r="L30" t="s">
        <v>25</v>
      </c>
      <c r="M30" t="s">
        <v>15</v>
      </c>
    </row>
    <row r="31" spans="1:13" x14ac:dyDescent="0.15">
      <c r="A31">
        <v>5136341</v>
      </c>
      <c r="B31" t="s">
        <v>111</v>
      </c>
      <c r="C31" s="1">
        <v>40630</v>
      </c>
      <c r="D31">
        <v>3</v>
      </c>
      <c r="F31" t="s">
        <v>113</v>
      </c>
      <c r="H31" t="s">
        <v>18</v>
      </c>
      <c r="I31" t="s">
        <v>114</v>
      </c>
      <c r="J31" t="str">
        <f>"9780133526981"</f>
        <v>9780133526981</v>
      </c>
      <c r="K31" t="str">
        <f>"9780273743446"</f>
        <v>9780273743446</v>
      </c>
      <c r="L31" t="s">
        <v>25</v>
      </c>
      <c r="M31" t="s">
        <v>112</v>
      </c>
    </row>
    <row r="32" spans="1:13" x14ac:dyDescent="0.15">
      <c r="A32">
        <v>5136346</v>
      </c>
      <c r="B32" t="s">
        <v>115</v>
      </c>
      <c r="C32" s="1">
        <v>41194</v>
      </c>
      <c r="D32">
        <v>1</v>
      </c>
      <c r="F32" t="s">
        <v>116</v>
      </c>
      <c r="G32" t="s">
        <v>117</v>
      </c>
      <c r="H32" t="s">
        <v>18</v>
      </c>
      <c r="I32" t="s">
        <v>118</v>
      </c>
      <c r="J32" t="str">
        <f>"9781408267806"</f>
        <v>9781408267806</v>
      </c>
      <c r="K32" t="str">
        <f>"9781408268230"</f>
        <v>9781408268230</v>
      </c>
      <c r="L32" t="s">
        <v>25</v>
      </c>
      <c r="M32" t="s">
        <v>15</v>
      </c>
    </row>
    <row r="33" spans="1:13" x14ac:dyDescent="0.15">
      <c r="A33">
        <v>5136356</v>
      </c>
      <c r="B33" t="s">
        <v>119</v>
      </c>
      <c r="C33" s="1">
        <v>41194</v>
      </c>
      <c r="D33">
        <v>3</v>
      </c>
      <c r="F33" t="s">
        <v>120</v>
      </c>
      <c r="G33" t="s">
        <v>117</v>
      </c>
      <c r="H33" t="s">
        <v>18</v>
      </c>
      <c r="I33" t="s">
        <v>121</v>
      </c>
      <c r="J33" t="str">
        <f>"9781447900795"</f>
        <v>9781447900795</v>
      </c>
      <c r="K33" t="str">
        <f>"9781447900801"</f>
        <v>9781447900801</v>
      </c>
      <c r="L33" t="s">
        <v>25</v>
      </c>
      <c r="M33" t="s">
        <v>15</v>
      </c>
    </row>
    <row r="34" spans="1:13" x14ac:dyDescent="0.15">
      <c r="A34">
        <v>5136361</v>
      </c>
      <c r="B34" t="s">
        <v>122</v>
      </c>
      <c r="C34" s="1">
        <v>40807</v>
      </c>
      <c r="D34">
        <v>6</v>
      </c>
      <c r="F34" t="s">
        <v>123</v>
      </c>
      <c r="G34" t="s">
        <v>36</v>
      </c>
      <c r="H34" t="s">
        <v>18</v>
      </c>
      <c r="I34" t="s">
        <v>124</v>
      </c>
      <c r="J34" t="str">
        <f>"9780273722854"</f>
        <v>9780273722854</v>
      </c>
      <c r="K34" t="str">
        <f>"9780273722892"</f>
        <v>9780273722892</v>
      </c>
      <c r="L34" t="s">
        <v>25</v>
      </c>
      <c r="M34" t="s">
        <v>39</v>
      </c>
    </row>
    <row r="35" spans="1:13" x14ac:dyDescent="0.15">
      <c r="A35">
        <v>5136388</v>
      </c>
      <c r="B35" t="s">
        <v>125</v>
      </c>
      <c r="C35" s="1">
        <v>41194</v>
      </c>
      <c r="D35">
        <v>3</v>
      </c>
      <c r="F35" t="s">
        <v>126</v>
      </c>
      <c r="G35" t="s">
        <v>117</v>
      </c>
      <c r="H35" t="s">
        <v>18</v>
      </c>
      <c r="I35" t="s">
        <v>127</v>
      </c>
      <c r="J35" t="str">
        <f>"9781408271049"</f>
        <v>9781408271049</v>
      </c>
      <c r="K35" t="str">
        <f>"9781408271483"</f>
        <v>9781408271483</v>
      </c>
      <c r="L35" t="s">
        <v>25</v>
      </c>
      <c r="M35" t="s">
        <v>15</v>
      </c>
    </row>
    <row r="36" spans="1:13" x14ac:dyDescent="0.15">
      <c r="A36">
        <v>5136395</v>
      </c>
      <c r="B36" t="s">
        <v>128</v>
      </c>
      <c r="C36" s="1">
        <v>41459</v>
      </c>
      <c r="D36">
        <v>1</v>
      </c>
      <c r="F36" t="s">
        <v>129</v>
      </c>
      <c r="G36" t="s">
        <v>130</v>
      </c>
      <c r="H36" t="s">
        <v>18</v>
      </c>
      <c r="I36" t="s">
        <v>131</v>
      </c>
      <c r="J36" t="str">
        <f>"9780273786351"</f>
        <v>9780273786351</v>
      </c>
      <c r="K36" t="str">
        <f>"9780273794578"</f>
        <v>9780273794578</v>
      </c>
      <c r="L36" t="s">
        <v>25</v>
      </c>
      <c r="M36" t="s">
        <v>15</v>
      </c>
    </row>
    <row r="37" spans="1:13" x14ac:dyDescent="0.15">
      <c r="A37">
        <v>5136409</v>
      </c>
      <c r="B37" t="s">
        <v>132</v>
      </c>
      <c r="C37" s="1">
        <v>40745</v>
      </c>
      <c r="D37">
        <v>5</v>
      </c>
      <c r="F37" t="s">
        <v>133</v>
      </c>
      <c r="G37" t="s">
        <v>65</v>
      </c>
      <c r="H37" t="s">
        <v>18</v>
      </c>
      <c r="I37" t="s">
        <v>134</v>
      </c>
      <c r="J37" t="str">
        <f>"9780273726029"</f>
        <v>9780273726029</v>
      </c>
      <c r="K37" t="str">
        <f>"9780273726036"</f>
        <v>9780273726036</v>
      </c>
      <c r="L37" t="s">
        <v>25</v>
      </c>
      <c r="M37" t="s">
        <v>112</v>
      </c>
    </row>
    <row r="38" spans="1:13" x14ac:dyDescent="0.15">
      <c r="A38">
        <v>5136415</v>
      </c>
      <c r="B38" t="s">
        <v>135</v>
      </c>
      <c r="C38" s="1">
        <v>41311</v>
      </c>
      <c r="D38">
        <v>2</v>
      </c>
      <c r="F38" t="s">
        <v>136</v>
      </c>
      <c r="G38" t="s">
        <v>117</v>
      </c>
      <c r="H38" t="s">
        <v>18</v>
      </c>
      <c r="I38" t="s">
        <v>137</v>
      </c>
      <c r="J38" t="str">
        <f>"9781408271803"</f>
        <v>9781408271803</v>
      </c>
      <c r="K38" t="str">
        <f>"9781408271810"</f>
        <v>9781408271810</v>
      </c>
      <c r="L38" t="s">
        <v>25</v>
      </c>
      <c r="M38" t="s">
        <v>15</v>
      </c>
    </row>
    <row r="39" spans="1:13" x14ac:dyDescent="0.15">
      <c r="A39">
        <v>5136427</v>
      </c>
      <c r="B39" t="s">
        <v>138</v>
      </c>
      <c r="C39" s="1">
        <v>41194</v>
      </c>
      <c r="D39">
        <v>4</v>
      </c>
      <c r="F39" t="s">
        <v>139</v>
      </c>
      <c r="G39" t="s">
        <v>117</v>
      </c>
      <c r="H39" t="s">
        <v>18</v>
      </c>
      <c r="I39" t="s">
        <v>140</v>
      </c>
      <c r="J39" t="str">
        <f>"9781408295311"</f>
        <v>9781408295311</v>
      </c>
      <c r="K39" t="str">
        <f>"9781408295328"</f>
        <v>9781408295328</v>
      </c>
      <c r="L39" t="s">
        <v>25</v>
      </c>
      <c r="M39" t="s">
        <v>15</v>
      </c>
    </row>
    <row r="40" spans="1:13" x14ac:dyDescent="0.15">
      <c r="A40">
        <v>5136428</v>
      </c>
      <c r="B40" t="s">
        <v>141</v>
      </c>
      <c r="C40" s="1">
        <v>41194</v>
      </c>
      <c r="D40">
        <v>4</v>
      </c>
      <c r="F40" t="s">
        <v>139</v>
      </c>
      <c r="G40" t="s">
        <v>117</v>
      </c>
      <c r="H40" t="s">
        <v>18</v>
      </c>
      <c r="I40" t="s">
        <v>142</v>
      </c>
      <c r="J40" t="str">
        <f>"9781408295342"</f>
        <v>9781408295342</v>
      </c>
      <c r="K40" t="str">
        <f>"9781408295359"</f>
        <v>9781408295359</v>
      </c>
      <c r="L40" t="s">
        <v>25</v>
      </c>
      <c r="M40" t="s">
        <v>15</v>
      </c>
    </row>
    <row r="41" spans="1:13" x14ac:dyDescent="0.15">
      <c r="A41">
        <v>5136442</v>
      </c>
      <c r="B41" t="s">
        <v>143</v>
      </c>
      <c r="C41" s="1">
        <v>41194</v>
      </c>
      <c r="D41">
        <v>4</v>
      </c>
      <c r="F41" t="s">
        <v>144</v>
      </c>
      <c r="G41" t="s">
        <v>117</v>
      </c>
      <c r="H41" t="s">
        <v>18</v>
      </c>
      <c r="I41" t="s">
        <v>145</v>
      </c>
      <c r="J41" t="str">
        <f>"9781408295373"</f>
        <v>9781408295373</v>
      </c>
      <c r="K41" t="str">
        <f>"9781408295380"</f>
        <v>9781408295380</v>
      </c>
      <c r="L41" t="s">
        <v>25</v>
      </c>
      <c r="M41" t="s">
        <v>15</v>
      </c>
    </row>
    <row r="42" spans="1:13" x14ac:dyDescent="0.15">
      <c r="A42">
        <v>5136443</v>
      </c>
      <c r="B42" t="s">
        <v>146</v>
      </c>
      <c r="C42" s="1">
        <v>41312</v>
      </c>
      <c r="D42">
        <v>1</v>
      </c>
      <c r="F42" t="s">
        <v>148</v>
      </c>
      <c r="G42" t="s">
        <v>117</v>
      </c>
      <c r="H42" t="s">
        <v>18</v>
      </c>
      <c r="I42" t="s">
        <v>149</v>
      </c>
      <c r="J42" t="str">
        <f>"9781405859479"</f>
        <v>9781405859479</v>
      </c>
      <c r="K42" t="str">
        <f>"9781408291955"</f>
        <v>9781408291955</v>
      </c>
      <c r="L42" t="s">
        <v>25</v>
      </c>
      <c r="M42" t="s">
        <v>147</v>
      </c>
    </row>
    <row r="43" spans="1:13" x14ac:dyDescent="0.15">
      <c r="A43">
        <v>5136444</v>
      </c>
      <c r="B43" t="s">
        <v>150</v>
      </c>
      <c r="C43" s="1">
        <v>41323</v>
      </c>
      <c r="D43">
        <v>4</v>
      </c>
      <c r="E43" t="s">
        <v>151</v>
      </c>
      <c r="F43" t="s">
        <v>148</v>
      </c>
      <c r="G43" t="s">
        <v>117</v>
      </c>
      <c r="H43" t="s">
        <v>18</v>
      </c>
      <c r="I43" t="s">
        <v>152</v>
      </c>
      <c r="J43" t="str">
        <f>"9781408295434"</f>
        <v>9781408295434</v>
      </c>
      <c r="K43" t="str">
        <f>"9781408295441"</f>
        <v>9781408295441</v>
      </c>
      <c r="L43" t="s">
        <v>25</v>
      </c>
      <c r="M43" t="s">
        <v>15</v>
      </c>
    </row>
    <row r="44" spans="1:13" x14ac:dyDescent="0.15">
      <c r="A44">
        <v>5136445</v>
      </c>
      <c r="B44" t="s">
        <v>153</v>
      </c>
      <c r="C44" s="1">
        <v>41311</v>
      </c>
      <c r="D44">
        <v>4</v>
      </c>
      <c r="F44" t="s">
        <v>144</v>
      </c>
      <c r="G44" t="s">
        <v>117</v>
      </c>
      <c r="H44" t="s">
        <v>18</v>
      </c>
      <c r="I44" t="s">
        <v>154</v>
      </c>
      <c r="J44" t="str">
        <f>"9781408295465"</f>
        <v>9781408295465</v>
      </c>
      <c r="K44" t="str">
        <f>"9781408295472"</f>
        <v>9781408295472</v>
      </c>
      <c r="L44" t="s">
        <v>25</v>
      </c>
      <c r="M44" t="s">
        <v>15</v>
      </c>
    </row>
    <row r="45" spans="1:13" x14ac:dyDescent="0.15">
      <c r="A45">
        <v>5136447</v>
      </c>
      <c r="B45" t="s">
        <v>155</v>
      </c>
      <c r="C45" s="1">
        <v>41484</v>
      </c>
      <c r="D45">
        <v>4</v>
      </c>
      <c r="F45" t="s">
        <v>156</v>
      </c>
      <c r="G45" t="s">
        <v>157</v>
      </c>
      <c r="H45" t="s">
        <v>18</v>
      </c>
      <c r="I45" t="s">
        <v>158</v>
      </c>
      <c r="J45" t="str">
        <f>"9781292026169"</f>
        <v>9781292026169</v>
      </c>
      <c r="K45" t="str">
        <f>"9781292038568"</f>
        <v>9781292038568</v>
      </c>
      <c r="L45" t="s">
        <v>25</v>
      </c>
      <c r="M45" t="s">
        <v>15</v>
      </c>
    </row>
    <row r="46" spans="1:13" x14ac:dyDescent="0.15">
      <c r="A46">
        <v>5136462</v>
      </c>
      <c r="B46" t="s">
        <v>159</v>
      </c>
      <c r="C46" s="1">
        <v>40745</v>
      </c>
      <c r="D46">
        <v>4</v>
      </c>
      <c r="F46" t="s">
        <v>160</v>
      </c>
      <c r="G46" t="s">
        <v>36</v>
      </c>
      <c r="H46" t="s">
        <v>18</v>
      </c>
      <c r="I46" t="s">
        <v>161</v>
      </c>
      <c r="J46" t="str">
        <f>"9780273730224"</f>
        <v>9780273730224</v>
      </c>
      <c r="K46" t="str">
        <f>"9780273730255"</f>
        <v>9780273730255</v>
      </c>
      <c r="L46" t="s">
        <v>25</v>
      </c>
      <c r="M46" t="s">
        <v>39</v>
      </c>
    </row>
    <row r="47" spans="1:13" x14ac:dyDescent="0.15">
      <c r="A47">
        <v>5136467</v>
      </c>
      <c r="B47" t="s">
        <v>162</v>
      </c>
      <c r="C47" s="1">
        <v>41194</v>
      </c>
      <c r="D47">
        <v>3</v>
      </c>
      <c r="F47" t="s">
        <v>163</v>
      </c>
      <c r="G47" t="s">
        <v>117</v>
      </c>
      <c r="H47" t="s">
        <v>18</v>
      </c>
      <c r="I47" t="s">
        <v>164</v>
      </c>
      <c r="J47" t="str">
        <f>"9781408271773"</f>
        <v>9781408271773</v>
      </c>
      <c r="K47" t="str">
        <f>"9781408271780"</f>
        <v>9781408271780</v>
      </c>
      <c r="L47" t="s">
        <v>25</v>
      </c>
      <c r="M47" t="s">
        <v>15</v>
      </c>
    </row>
    <row r="48" spans="1:13" x14ac:dyDescent="0.15">
      <c r="A48">
        <v>5136468</v>
      </c>
      <c r="B48" t="s">
        <v>165</v>
      </c>
      <c r="C48" s="1">
        <v>41194</v>
      </c>
      <c r="D48">
        <v>4</v>
      </c>
      <c r="F48" t="s">
        <v>163</v>
      </c>
      <c r="G48" t="s">
        <v>117</v>
      </c>
      <c r="H48" t="s">
        <v>18</v>
      </c>
      <c r="I48" t="s">
        <v>166</v>
      </c>
      <c r="J48" t="str">
        <f>"9781408295403"</f>
        <v>9781408295403</v>
      </c>
      <c r="K48" t="str">
        <f>"9781408295410"</f>
        <v>9781408295410</v>
      </c>
      <c r="L48" t="s">
        <v>25</v>
      </c>
      <c r="M48" t="s">
        <v>15</v>
      </c>
    </row>
    <row r="49" spans="1:13" x14ac:dyDescent="0.15">
      <c r="A49">
        <v>5136471</v>
      </c>
      <c r="B49" t="s">
        <v>167</v>
      </c>
      <c r="C49" s="1">
        <v>40630</v>
      </c>
      <c r="D49">
        <v>4</v>
      </c>
      <c r="F49" t="s">
        <v>168</v>
      </c>
      <c r="G49" t="s">
        <v>36</v>
      </c>
      <c r="H49" t="s">
        <v>18</v>
      </c>
      <c r="I49" t="s">
        <v>169</v>
      </c>
      <c r="J49" t="str">
        <f>"9780273743897"</f>
        <v>9780273743897</v>
      </c>
      <c r="K49" t="str">
        <f>"9780273743910"</f>
        <v>9780273743910</v>
      </c>
      <c r="L49" t="s">
        <v>25</v>
      </c>
      <c r="M49" t="s">
        <v>30</v>
      </c>
    </row>
    <row r="50" spans="1:13" x14ac:dyDescent="0.15">
      <c r="A50">
        <v>5136474</v>
      </c>
      <c r="B50" t="s">
        <v>170</v>
      </c>
      <c r="C50" s="1">
        <v>40017</v>
      </c>
      <c r="D50">
        <v>1</v>
      </c>
      <c r="F50" t="s">
        <v>171</v>
      </c>
      <c r="G50" t="s">
        <v>36</v>
      </c>
      <c r="H50" t="s">
        <v>18</v>
      </c>
      <c r="I50" t="s">
        <v>172</v>
      </c>
      <c r="J50" t="str">
        <f>"9780273727347"</f>
        <v>9780273727347</v>
      </c>
      <c r="K50" t="str">
        <f>"9780273727354"</f>
        <v>9780273727354</v>
      </c>
      <c r="L50" t="s">
        <v>25</v>
      </c>
      <c r="M50" t="s">
        <v>30</v>
      </c>
    </row>
    <row r="51" spans="1:13" x14ac:dyDescent="0.15">
      <c r="A51">
        <v>5136476</v>
      </c>
      <c r="B51" t="s">
        <v>173</v>
      </c>
      <c r="C51" s="1">
        <v>40689</v>
      </c>
      <c r="D51">
        <v>3</v>
      </c>
      <c r="F51" t="s">
        <v>174</v>
      </c>
      <c r="G51" t="s">
        <v>65</v>
      </c>
      <c r="H51" t="s">
        <v>18</v>
      </c>
      <c r="I51" t="s">
        <v>175</v>
      </c>
      <c r="J51" t="str">
        <f>"9780273726074"</f>
        <v>9780273726074</v>
      </c>
      <c r="K51" t="str">
        <f>"9780273726098"</f>
        <v>9780273726098</v>
      </c>
      <c r="L51" t="s">
        <v>25</v>
      </c>
      <c r="M51" t="s">
        <v>112</v>
      </c>
    </row>
    <row r="52" spans="1:13" x14ac:dyDescent="0.15">
      <c r="A52">
        <v>5136477</v>
      </c>
      <c r="B52" t="s">
        <v>176</v>
      </c>
      <c r="C52" s="1">
        <v>40807</v>
      </c>
      <c r="D52">
        <v>5</v>
      </c>
      <c r="F52" t="s">
        <v>174</v>
      </c>
      <c r="G52" t="s">
        <v>65</v>
      </c>
      <c r="H52" t="s">
        <v>18</v>
      </c>
      <c r="I52" t="s">
        <v>177</v>
      </c>
      <c r="J52" t="str">
        <f>"9780273734260"</f>
        <v>9780273734260</v>
      </c>
      <c r="K52" t="str">
        <f>"9780273734291"</f>
        <v>9780273734291</v>
      </c>
      <c r="L52" t="s">
        <v>25</v>
      </c>
      <c r="M52" t="s">
        <v>112</v>
      </c>
    </row>
    <row r="53" spans="1:13" x14ac:dyDescent="0.15">
      <c r="A53">
        <v>5136482</v>
      </c>
      <c r="B53" t="s">
        <v>178</v>
      </c>
      <c r="C53" s="1">
        <v>41339</v>
      </c>
      <c r="D53">
        <v>2</v>
      </c>
      <c r="F53" t="s">
        <v>179</v>
      </c>
      <c r="G53" t="s">
        <v>36</v>
      </c>
      <c r="H53" t="s">
        <v>18</v>
      </c>
      <c r="I53" t="s">
        <v>180</v>
      </c>
      <c r="J53" t="str">
        <f>"9780273757252"</f>
        <v>9780273757252</v>
      </c>
      <c r="K53" t="str">
        <f>"9780273758600"</f>
        <v>9780273758600</v>
      </c>
      <c r="L53" t="s">
        <v>25</v>
      </c>
      <c r="M53" t="s">
        <v>39</v>
      </c>
    </row>
    <row r="54" spans="1:13" x14ac:dyDescent="0.15">
      <c r="A54">
        <v>5136483</v>
      </c>
      <c r="B54" t="s">
        <v>181</v>
      </c>
      <c r="C54" s="1">
        <v>41515</v>
      </c>
      <c r="D54">
        <v>2</v>
      </c>
      <c r="F54" t="s">
        <v>182</v>
      </c>
      <c r="H54" t="s">
        <v>18</v>
      </c>
      <c r="I54" t="s">
        <v>183</v>
      </c>
      <c r="J54" t="str">
        <f>"9781292025438"</f>
        <v>9781292025438</v>
      </c>
      <c r="K54" t="str">
        <f>"9781292037936"</f>
        <v>9781292037936</v>
      </c>
      <c r="L54" t="s">
        <v>25</v>
      </c>
      <c r="M54" t="s">
        <v>15</v>
      </c>
    </row>
    <row r="55" spans="1:13" x14ac:dyDescent="0.15">
      <c r="A55">
        <v>5136490</v>
      </c>
      <c r="B55" t="s">
        <v>184</v>
      </c>
      <c r="C55" s="1">
        <v>41194</v>
      </c>
      <c r="D55">
        <v>3</v>
      </c>
      <c r="F55" t="s">
        <v>185</v>
      </c>
      <c r="G55" t="s">
        <v>117</v>
      </c>
      <c r="H55" t="s">
        <v>18</v>
      </c>
      <c r="I55" t="s">
        <v>186</v>
      </c>
      <c r="J55" t="str">
        <f>"9781408295281"</f>
        <v>9781408295281</v>
      </c>
      <c r="K55" t="str">
        <f>"9781408295298"</f>
        <v>9781408295298</v>
      </c>
      <c r="L55" t="s">
        <v>25</v>
      </c>
      <c r="M55" t="s">
        <v>15</v>
      </c>
    </row>
    <row r="56" spans="1:13" x14ac:dyDescent="0.15">
      <c r="A56">
        <v>5136496</v>
      </c>
      <c r="B56" t="s">
        <v>187</v>
      </c>
      <c r="C56" s="1">
        <v>41515</v>
      </c>
      <c r="D56">
        <v>5</v>
      </c>
      <c r="F56" t="s">
        <v>188</v>
      </c>
      <c r="G56" t="s">
        <v>189</v>
      </c>
      <c r="H56" t="s">
        <v>18</v>
      </c>
      <c r="I56" t="s">
        <v>190</v>
      </c>
      <c r="J56" t="str">
        <f>"9781292024752"</f>
        <v>9781292024752</v>
      </c>
      <c r="K56" t="str">
        <f>"9781292037424"</f>
        <v>9781292037424</v>
      </c>
      <c r="L56" t="s">
        <v>25</v>
      </c>
      <c r="M56" t="s">
        <v>15</v>
      </c>
    </row>
    <row r="57" spans="1:13" x14ac:dyDescent="0.15">
      <c r="A57">
        <v>5136497</v>
      </c>
      <c r="B57" t="s">
        <v>191</v>
      </c>
      <c r="C57" s="1">
        <v>41306</v>
      </c>
      <c r="D57">
        <v>9</v>
      </c>
      <c r="F57" t="s">
        <v>192</v>
      </c>
      <c r="G57" t="s">
        <v>36</v>
      </c>
      <c r="H57" t="s">
        <v>18</v>
      </c>
      <c r="I57" t="s">
        <v>193</v>
      </c>
      <c r="J57" t="str">
        <f>"9780273779353"</f>
        <v>9780273779353</v>
      </c>
      <c r="K57" t="str">
        <f>"9780273780052"</f>
        <v>9780273780052</v>
      </c>
      <c r="L57" t="s">
        <v>25</v>
      </c>
      <c r="M57" t="s">
        <v>15</v>
      </c>
    </row>
    <row r="58" spans="1:13" x14ac:dyDescent="0.15">
      <c r="A58">
        <v>5136499</v>
      </c>
      <c r="B58" t="s">
        <v>194</v>
      </c>
      <c r="C58" s="1">
        <v>41579</v>
      </c>
      <c r="D58">
        <v>4</v>
      </c>
      <c r="F58" t="s">
        <v>195</v>
      </c>
      <c r="G58" t="s">
        <v>189</v>
      </c>
      <c r="H58" t="s">
        <v>18</v>
      </c>
      <c r="I58" t="s">
        <v>196</v>
      </c>
      <c r="J58" t="str">
        <f>"9781292020556"</f>
        <v>9781292020556</v>
      </c>
      <c r="K58" t="str">
        <f>"9781292028316"</f>
        <v>9781292028316</v>
      </c>
      <c r="L58" t="s">
        <v>25</v>
      </c>
      <c r="M58" t="s">
        <v>15</v>
      </c>
    </row>
    <row r="59" spans="1:13" x14ac:dyDescent="0.15">
      <c r="A59">
        <v>5136501</v>
      </c>
      <c r="B59" t="s">
        <v>197</v>
      </c>
      <c r="C59" s="1">
        <v>40205</v>
      </c>
      <c r="D59">
        <v>1</v>
      </c>
      <c r="F59" t="s">
        <v>198</v>
      </c>
      <c r="G59" t="s">
        <v>36</v>
      </c>
      <c r="H59" t="s">
        <v>18</v>
      </c>
      <c r="I59" t="s">
        <v>199</v>
      </c>
      <c r="J59" t="str">
        <f>"9780273724926"</f>
        <v>9780273724926</v>
      </c>
      <c r="K59" t="str">
        <f>"9780273725954"</f>
        <v>9780273725954</v>
      </c>
      <c r="L59" t="s">
        <v>25</v>
      </c>
      <c r="M59" t="s">
        <v>30</v>
      </c>
    </row>
    <row r="60" spans="1:13" x14ac:dyDescent="0.15">
      <c r="A60">
        <v>5136511</v>
      </c>
      <c r="B60" t="s">
        <v>200</v>
      </c>
      <c r="C60" s="1">
        <v>40269</v>
      </c>
      <c r="D60">
        <v>1</v>
      </c>
      <c r="F60" t="s">
        <v>201</v>
      </c>
      <c r="G60" t="s">
        <v>202</v>
      </c>
      <c r="H60" t="s">
        <v>18</v>
      </c>
      <c r="I60" t="s">
        <v>203</v>
      </c>
      <c r="J60" t="str">
        <f>"9780273727798"</f>
        <v>9780273727798</v>
      </c>
      <c r="K60" t="str">
        <f>"9780273727804"</f>
        <v>9780273727804</v>
      </c>
      <c r="L60" t="s">
        <v>25</v>
      </c>
      <c r="M60" t="s">
        <v>39</v>
      </c>
    </row>
    <row r="61" spans="1:13" x14ac:dyDescent="0.15">
      <c r="A61">
        <v>5136517</v>
      </c>
      <c r="B61" t="s">
        <v>204</v>
      </c>
      <c r="C61" s="1">
        <v>41128</v>
      </c>
      <c r="D61">
        <v>6</v>
      </c>
      <c r="F61" t="s">
        <v>205</v>
      </c>
      <c r="G61" t="s">
        <v>117</v>
      </c>
      <c r="H61" t="s">
        <v>18</v>
      </c>
      <c r="I61" t="s">
        <v>206</v>
      </c>
      <c r="J61" t="str">
        <f>"9781408292747"</f>
        <v>9781408292747</v>
      </c>
      <c r="K61" t="str">
        <f>"9781408292761"</f>
        <v>9781408292761</v>
      </c>
      <c r="L61" t="s">
        <v>25</v>
      </c>
      <c r="M61" t="s">
        <v>15</v>
      </c>
    </row>
    <row r="62" spans="1:13" x14ac:dyDescent="0.15">
      <c r="A62">
        <v>5136518</v>
      </c>
      <c r="B62" t="s">
        <v>207</v>
      </c>
      <c r="C62" s="1">
        <v>41194</v>
      </c>
      <c r="D62">
        <v>3</v>
      </c>
      <c r="E62" t="s">
        <v>151</v>
      </c>
      <c r="F62" t="s">
        <v>205</v>
      </c>
      <c r="G62" t="s">
        <v>117</v>
      </c>
      <c r="H62" t="s">
        <v>18</v>
      </c>
      <c r="I62" t="s">
        <v>208</v>
      </c>
      <c r="J62" t="str">
        <f>"9781447900733"</f>
        <v>9781447900733</v>
      </c>
      <c r="K62" t="str">
        <f>"9781447900740"</f>
        <v>9781447900740</v>
      </c>
      <c r="L62" t="s">
        <v>25</v>
      </c>
      <c r="M62" t="s">
        <v>15</v>
      </c>
    </row>
    <row r="63" spans="1:13" x14ac:dyDescent="0.15">
      <c r="A63">
        <v>5136521</v>
      </c>
      <c r="B63" t="s">
        <v>209</v>
      </c>
      <c r="C63" s="1">
        <v>39989</v>
      </c>
      <c r="D63">
        <v>1</v>
      </c>
      <c r="F63" t="s">
        <v>210</v>
      </c>
      <c r="G63" t="s">
        <v>211</v>
      </c>
      <c r="H63" t="s">
        <v>18</v>
      </c>
      <c r="I63" t="s">
        <v>212</v>
      </c>
      <c r="J63" t="str">
        <f>"9780273720737"</f>
        <v>9780273720737</v>
      </c>
      <c r="K63" t="str">
        <f>"9780273726920"</f>
        <v>9780273726920</v>
      </c>
      <c r="L63" t="s">
        <v>25</v>
      </c>
      <c r="M63" t="s">
        <v>147</v>
      </c>
    </row>
    <row r="64" spans="1:13" x14ac:dyDescent="0.15">
      <c r="A64">
        <v>5136525</v>
      </c>
      <c r="B64" t="s">
        <v>65</v>
      </c>
      <c r="C64" s="1">
        <v>40553</v>
      </c>
      <c r="D64">
        <v>4</v>
      </c>
      <c r="F64" t="s">
        <v>214</v>
      </c>
      <c r="G64" t="s">
        <v>65</v>
      </c>
      <c r="H64" t="s">
        <v>18</v>
      </c>
      <c r="I64" t="s">
        <v>215</v>
      </c>
      <c r="J64" t="str">
        <f>"9780273720119"</f>
        <v>9780273720119</v>
      </c>
      <c r="K64" t="str">
        <f>"9780273720195"</f>
        <v>9780273720195</v>
      </c>
      <c r="L64" t="s">
        <v>25</v>
      </c>
      <c r="M64" t="s">
        <v>213</v>
      </c>
    </row>
    <row r="65" spans="1:13" x14ac:dyDescent="0.15">
      <c r="A65">
        <v>5136532</v>
      </c>
      <c r="B65" t="s">
        <v>216</v>
      </c>
      <c r="C65" s="1">
        <v>40807</v>
      </c>
      <c r="D65">
        <v>9</v>
      </c>
      <c r="F65" t="s">
        <v>217</v>
      </c>
      <c r="G65" t="s">
        <v>36</v>
      </c>
      <c r="H65" t="s">
        <v>18</v>
      </c>
      <c r="I65" t="s">
        <v>218</v>
      </c>
      <c r="J65" t="str">
        <f>"9780273750451"</f>
        <v>9780273750451</v>
      </c>
      <c r="K65" t="str">
        <f>"9780273757023"</f>
        <v>9780273757023</v>
      </c>
      <c r="L65" t="s">
        <v>25</v>
      </c>
      <c r="M65" t="s">
        <v>39</v>
      </c>
    </row>
    <row r="66" spans="1:13" x14ac:dyDescent="0.15">
      <c r="A66">
        <v>5136561</v>
      </c>
      <c r="B66" t="s">
        <v>219</v>
      </c>
      <c r="C66" s="1">
        <v>41579</v>
      </c>
      <c r="D66">
        <v>3</v>
      </c>
      <c r="F66" t="s">
        <v>220</v>
      </c>
      <c r="G66" t="s">
        <v>221</v>
      </c>
      <c r="H66" t="s">
        <v>18</v>
      </c>
      <c r="I66" t="s">
        <v>222</v>
      </c>
      <c r="J66" t="str">
        <f>"9781292024035"</f>
        <v>9781292024035</v>
      </c>
      <c r="K66" t="str">
        <f>"9781292037103"</f>
        <v>9781292037103</v>
      </c>
      <c r="L66" t="s">
        <v>25</v>
      </c>
      <c r="M66" t="s">
        <v>15</v>
      </c>
    </row>
    <row r="67" spans="1:13" x14ac:dyDescent="0.15">
      <c r="A67">
        <v>5136562</v>
      </c>
      <c r="B67" t="s">
        <v>223</v>
      </c>
      <c r="C67" s="1">
        <v>41515</v>
      </c>
      <c r="D67">
        <v>2</v>
      </c>
      <c r="F67" t="s">
        <v>224</v>
      </c>
      <c r="G67" t="s">
        <v>189</v>
      </c>
      <c r="H67" t="s">
        <v>18</v>
      </c>
      <c r="I67" t="s">
        <v>225</v>
      </c>
      <c r="J67" t="str">
        <f>"9781292024776"</f>
        <v>9781292024776</v>
      </c>
      <c r="K67" t="str">
        <f>"9781292037448"</f>
        <v>9781292037448</v>
      </c>
      <c r="L67" t="s">
        <v>25</v>
      </c>
      <c r="M67" t="s">
        <v>15</v>
      </c>
    </row>
    <row r="68" spans="1:13" x14ac:dyDescent="0.15">
      <c r="A68">
        <v>5136583</v>
      </c>
      <c r="B68" t="s">
        <v>226</v>
      </c>
      <c r="C68" s="1">
        <v>41579</v>
      </c>
      <c r="D68">
        <v>2</v>
      </c>
      <c r="F68" t="s">
        <v>227</v>
      </c>
      <c r="G68" t="s">
        <v>157</v>
      </c>
      <c r="H68" t="s">
        <v>18</v>
      </c>
      <c r="I68" t="s">
        <v>228</v>
      </c>
      <c r="J68" t="str">
        <f>""</f>
        <v/>
      </c>
      <c r="K68" t="str">
        <f>"9781292038414"</f>
        <v>9781292038414</v>
      </c>
      <c r="L68" t="s">
        <v>25</v>
      </c>
      <c r="M68" t="s">
        <v>15</v>
      </c>
    </row>
    <row r="69" spans="1:13" x14ac:dyDescent="0.15">
      <c r="A69">
        <v>5136585</v>
      </c>
      <c r="B69" t="s">
        <v>229</v>
      </c>
      <c r="C69" s="1">
        <v>40317</v>
      </c>
      <c r="D69">
        <v>6</v>
      </c>
      <c r="F69" t="s">
        <v>230</v>
      </c>
      <c r="G69" t="s">
        <v>36</v>
      </c>
      <c r="H69" t="s">
        <v>18</v>
      </c>
      <c r="I69" t="s">
        <v>231</v>
      </c>
      <c r="J69" t="str">
        <f>"9780273730460"</f>
        <v>9780273730460</v>
      </c>
      <c r="K69" t="str">
        <f>"9780273730477"</f>
        <v>9780273730477</v>
      </c>
      <c r="L69" t="s">
        <v>25</v>
      </c>
      <c r="M69" t="s">
        <v>39</v>
      </c>
    </row>
    <row r="70" spans="1:13" x14ac:dyDescent="0.15">
      <c r="A70">
        <v>5136590</v>
      </c>
      <c r="B70" t="s">
        <v>232</v>
      </c>
      <c r="C70" s="1">
        <v>40807</v>
      </c>
      <c r="D70">
        <v>7</v>
      </c>
      <c r="F70" t="s">
        <v>233</v>
      </c>
      <c r="G70" t="s">
        <v>117</v>
      </c>
      <c r="H70" t="s">
        <v>18</v>
      </c>
      <c r="I70" t="s">
        <v>234</v>
      </c>
      <c r="J70" t="str">
        <f>"9781408252611"</f>
        <v>9781408252611</v>
      </c>
      <c r="K70" t="str">
        <f>"9781408252635"</f>
        <v>9781408252635</v>
      </c>
      <c r="L70" t="s">
        <v>25</v>
      </c>
      <c r="M70" t="s">
        <v>147</v>
      </c>
    </row>
    <row r="71" spans="1:13" x14ac:dyDescent="0.15">
      <c r="A71">
        <v>5136591</v>
      </c>
      <c r="B71" t="s">
        <v>235</v>
      </c>
      <c r="C71" s="1">
        <v>41194</v>
      </c>
      <c r="D71">
        <v>1</v>
      </c>
      <c r="F71" t="s">
        <v>236</v>
      </c>
      <c r="G71" t="s">
        <v>117</v>
      </c>
      <c r="H71" t="s">
        <v>18</v>
      </c>
      <c r="I71" t="s">
        <v>237</v>
      </c>
      <c r="J71" t="str">
        <f>"9781408266564"</f>
        <v>9781408266564</v>
      </c>
      <c r="K71" t="str">
        <f>"9781408267103"</f>
        <v>9781408267103</v>
      </c>
      <c r="L71" t="s">
        <v>25</v>
      </c>
      <c r="M71" t="s">
        <v>15</v>
      </c>
    </row>
    <row r="72" spans="1:13" x14ac:dyDescent="0.15">
      <c r="A72">
        <v>5136596</v>
      </c>
      <c r="B72" t="s">
        <v>238</v>
      </c>
      <c r="C72" s="1">
        <v>41514</v>
      </c>
      <c r="D72">
        <v>6</v>
      </c>
      <c r="F72" t="s">
        <v>239</v>
      </c>
      <c r="G72" t="s">
        <v>36</v>
      </c>
      <c r="H72" t="s">
        <v>18</v>
      </c>
      <c r="I72" t="s">
        <v>240</v>
      </c>
      <c r="J72" t="str">
        <f>"9781292023038"</f>
        <v>9781292023038</v>
      </c>
      <c r="K72" t="str">
        <f>"9781292036212"</f>
        <v>9781292036212</v>
      </c>
      <c r="L72" t="s">
        <v>25</v>
      </c>
      <c r="M72" t="s">
        <v>15</v>
      </c>
    </row>
    <row r="73" spans="1:13" x14ac:dyDescent="0.15">
      <c r="A73">
        <v>5136601</v>
      </c>
      <c r="B73" t="s">
        <v>241</v>
      </c>
      <c r="C73" s="1">
        <v>41311</v>
      </c>
      <c r="D73">
        <v>2</v>
      </c>
      <c r="F73" t="s">
        <v>242</v>
      </c>
      <c r="G73" t="s">
        <v>117</v>
      </c>
      <c r="H73" t="s">
        <v>18</v>
      </c>
      <c r="I73" t="s">
        <v>243</v>
      </c>
      <c r="J73" t="str">
        <f>"9781408271711"</f>
        <v>9781408271711</v>
      </c>
      <c r="K73" t="str">
        <f>"9781408271735"</f>
        <v>9781408271735</v>
      </c>
      <c r="L73" t="s">
        <v>25</v>
      </c>
      <c r="M73" t="s">
        <v>15</v>
      </c>
    </row>
    <row r="74" spans="1:13" x14ac:dyDescent="0.15">
      <c r="A74">
        <v>5136602</v>
      </c>
      <c r="B74" t="s">
        <v>244</v>
      </c>
      <c r="C74" s="1">
        <v>41311</v>
      </c>
      <c r="D74">
        <v>2</v>
      </c>
      <c r="F74" t="s">
        <v>242</v>
      </c>
      <c r="G74" t="s">
        <v>117</v>
      </c>
      <c r="H74" t="s">
        <v>18</v>
      </c>
      <c r="I74" t="s">
        <v>245</v>
      </c>
      <c r="J74" t="str">
        <f>"9781408271834"</f>
        <v>9781408271834</v>
      </c>
      <c r="K74" t="str">
        <f>"9781408271858"</f>
        <v>9781408271858</v>
      </c>
      <c r="L74" t="s">
        <v>25</v>
      </c>
      <c r="M74" t="s">
        <v>15</v>
      </c>
    </row>
    <row r="75" spans="1:13" x14ac:dyDescent="0.15">
      <c r="A75">
        <v>5136603</v>
      </c>
      <c r="B75" t="s">
        <v>246</v>
      </c>
      <c r="C75" s="1">
        <v>41311</v>
      </c>
      <c r="D75">
        <v>3</v>
      </c>
      <c r="F75" t="s">
        <v>242</v>
      </c>
      <c r="G75" t="s">
        <v>117</v>
      </c>
      <c r="H75" t="s">
        <v>18</v>
      </c>
      <c r="I75" t="s">
        <v>247</v>
      </c>
      <c r="J75" t="str">
        <f>"9781408271742"</f>
        <v>9781408271742</v>
      </c>
      <c r="K75" t="str">
        <f>"9781408271766"</f>
        <v>9781408271766</v>
      </c>
      <c r="L75" t="s">
        <v>25</v>
      </c>
      <c r="M75" t="s">
        <v>15</v>
      </c>
    </row>
    <row r="76" spans="1:13" x14ac:dyDescent="0.15">
      <c r="A76">
        <v>5136608</v>
      </c>
      <c r="B76" t="s">
        <v>248</v>
      </c>
      <c r="C76" s="1">
        <v>41194</v>
      </c>
      <c r="D76">
        <v>2</v>
      </c>
      <c r="F76" t="s">
        <v>249</v>
      </c>
      <c r="G76" t="s">
        <v>117</v>
      </c>
      <c r="H76" t="s">
        <v>18</v>
      </c>
      <c r="I76" t="s">
        <v>250</v>
      </c>
      <c r="J76" t="str">
        <f>"9781447900764"</f>
        <v>9781447900764</v>
      </c>
      <c r="K76" t="str">
        <f>"9781447900771"</f>
        <v>9781447900771</v>
      </c>
      <c r="L76" t="s">
        <v>25</v>
      </c>
      <c r="M76" t="s">
        <v>15</v>
      </c>
    </row>
    <row r="77" spans="1:13" x14ac:dyDescent="0.15">
      <c r="A77">
        <v>5136627</v>
      </c>
      <c r="B77" t="s">
        <v>251</v>
      </c>
      <c r="C77" s="1">
        <v>40807</v>
      </c>
      <c r="D77">
        <v>4</v>
      </c>
      <c r="F77" t="s">
        <v>252</v>
      </c>
      <c r="G77" t="s">
        <v>117</v>
      </c>
      <c r="H77" t="s">
        <v>18</v>
      </c>
      <c r="I77" t="s">
        <v>253</v>
      </c>
      <c r="J77" t="str">
        <f>"9781408252642"</f>
        <v>9781408252642</v>
      </c>
      <c r="K77" t="str">
        <f>"9781408252659"</f>
        <v>9781408252659</v>
      </c>
      <c r="L77" t="s">
        <v>25</v>
      </c>
      <c r="M77" t="s">
        <v>147</v>
      </c>
    </row>
    <row r="78" spans="1:13" x14ac:dyDescent="0.15">
      <c r="A78">
        <v>5136628</v>
      </c>
      <c r="B78" t="s">
        <v>254</v>
      </c>
      <c r="C78" s="1">
        <v>40017</v>
      </c>
      <c r="D78">
        <v>1</v>
      </c>
      <c r="F78" t="s">
        <v>255</v>
      </c>
      <c r="G78" t="s">
        <v>36</v>
      </c>
      <c r="H78" t="s">
        <v>18</v>
      </c>
      <c r="I78" t="s">
        <v>256</v>
      </c>
      <c r="J78" t="str">
        <f>"9780273720911"</f>
        <v>9780273720911</v>
      </c>
      <c r="K78" t="str">
        <f>"9780273720928"</f>
        <v>9780273720928</v>
      </c>
      <c r="L78" t="s">
        <v>25</v>
      </c>
      <c r="M78" t="s">
        <v>30</v>
      </c>
    </row>
    <row r="79" spans="1:13" x14ac:dyDescent="0.15">
      <c r="A79">
        <v>5136629</v>
      </c>
      <c r="B79" t="s">
        <v>257</v>
      </c>
      <c r="C79" s="1">
        <v>40255</v>
      </c>
      <c r="D79">
        <v>2</v>
      </c>
      <c r="F79" t="s">
        <v>255</v>
      </c>
      <c r="G79" t="s">
        <v>65</v>
      </c>
      <c r="H79" t="s">
        <v>18</v>
      </c>
      <c r="I79" t="s">
        <v>258</v>
      </c>
      <c r="J79" t="str">
        <f>"9780273734611"</f>
        <v>9780273734611</v>
      </c>
      <c r="K79" t="str">
        <f>"9780273734628"</f>
        <v>9780273734628</v>
      </c>
      <c r="L79" t="s">
        <v>25</v>
      </c>
      <c r="M79" t="s">
        <v>30</v>
      </c>
    </row>
    <row r="80" spans="1:13" x14ac:dyDescent="0.15">
      <c r="A80">
        <v>5136639</v>
      </c>
      <c r="B80" t="s">
        <v>259</v>
      </c>
      <c r="C80" s="1">
        <v>41550</v>
      </c>
      <c r="D80">
        <v>7</v>
      </c>
      <c r="F80" t="s">
        <v>260</v>
      </c>
      <c r="H80" t="s">
        <v>18</v>
      </c>
      <c r="I80" t="s">
        <v>261</v>
      </c>
      <c r="J80" t="str">
        <f>"9781292040011"</f>
        <v>9781292040011</v>
      </c>
      <c r="K80" t="str">
        <f>"9781292056203"</f>
        <v>9781292056203</v>
      </c>
      <c r="L80" t="s">
        <v>25</v>
      </c>
      <c r="M80" t="s">
        <v>15</v>
      </c>
    </row>
    <row r="81" spans="1:13" x14ac:dyDescent="0.15">
      <c r="A81">
        <v>5136641</v>
      </c>
      <c r="B81" t="s">
        <v>262</v>
      </c>
      <c r="C81" s="1">
        <v>41514</v>
      </c>
      <c r="D81">
        <v>6</v>
      </c>
      <c r="F81" t="s">
        <v>263</v>
      </c>
      <c r="H81" t="s">
        <v>18</v>
      </c>
      <c r="I81" t="s">
        <v>264</v>
      </c>
      <c r="J81" t="str">
        <f>"9781292022949"</f>
        <v>9781292022949</v>
      </c>
      <c r="K81" t="str">
        <f>"9781292036120"</f>
        <v>9781292036120</v>
      </c>
      <c r="L81" t="s">
        <v>25</v>
      </c>
      <c r="M81" t="s">
        <v>15</v>
      </c>
    </row>
    <row r="82" spans="1:13" x14ac:dyDescent="0.15">
      <c r="A82">
        <v>5136642</v>
      </c>
      <c r="B82" t="s">
        <v>265</v>
      </c>
      <c r="C82" s="1">
        <v>40696</v>
      </c>
      <c r="D82">
        <v>7</v>
      </c>
      <c r="F82" t="s">
        <v>266</v>
      </c>
      <c r="G82" t="s">
        <v>36</v>
      </c>
      <c r="H82" t="s">
        <v>18</v>
      </c>
      <c r="I82" t="s">
        <v>267</v>
      </c>
      <c r="J82" t="str">
        <f>"9780273743880"</f>
        <v>9780273743880</v>
      </c>
      <c r="K82" t="str">
        <f>"9780273744412"</f>
        <v>9780273744412</v>
      </c>
      <c r="L82" t="s">
        <v>25</v>
      </c>
      <c r="M82" t="s">
        <v>39</v>
      </c>
    </row>
    <row r="83" spans="1:13" x14ac:dyDescent="0.15">
      <c r="A83">
        <v>5136645</v>
      </c>
      <c r="B83" t="s">
        <v>268</v>
      </c>
      <c r="C83" s="1">
        <v>41513</v>
      </c>
      <c r="D83">
        <v>7</v>
      </c>
      <c r="F83" t="s">
        <v>269</v>
      </c>
      <c r="H83" t="s">
        <v>18</v>
      </c>
      <c r="I83" t="s">
        <v>270</v>
      </c>
      <c r="J83" t="str">
        <f>"9781292021089"</f>
        <v>9781292021089</v>
      </c>
      <c r="K83" t="str">
        <f>"9781292034331"</f>
        <v>9781292034331</v>
      </c>
      <c r="L83" t="s">
        <v>25</v>
      </c>
      <c r="M83" t="s">
        <v>15</v>
      </c>
    </row>
    <row r="84" spans="1:13" x14ac:dyDescent="0.15">
      <c r="A84">
        <v>5136651</v>
      </c>
      <c r="B84" t="s">
        <v>271</v>
      </c>
      <c r="C84" s="1">
        <v>41550</v>
      </c>
      <c r="D84">
        <v>6</v>
      </c>
      <c r="F84" t="s">
        <v>272</v>
      </c>
      <c r="H84" t="s">
        <v>18</v>
      </c>
      <c r="I84" t="s">
        <v>273</v>
      </c>
      <c r="J84" t="str">
        <f>"9781292027227"</f>
        <v>9781292027227</v>
      </c>
      <c r="K84" t="str">
        <f>"9781292051789"</f>
        <v>9781292051789</v>
      </c>
      <c r="L84" t="s">
        <v>25</v>
      </c>
      <c r="M84" t="s">
        <v>15</v>
      </c>
    </row>
    <row r="85" spans="1:13" x14ac:dyDescent="0.15">
      <c r="A85">
        <v>5136652</v>
      </c>
      <c r="B85" t="s">
        <v>274</v>
      </c>
      <c r="C85" s="1">
        <v>41456</v>
      </c>
      <c r="D85">
        <v>5</v>
      </c>
      <c r="F85" t="s">
        <v>275</v>
      </c>
      <c r="G85" t="s">
        <v>202</v>
      </c>
      <c r="H85" t="s">
        <v>18</v>
      </c>
      <c r="I85" t="s">
        <v>276</v>
      </c>
      <c r="J85" t="str">
        <f>"9781292023052"</f>
        <v>9781292023052</v>
      </c>
      <c r="K85" t="str">
        <f>"9781292036236"</f>
        <v>9781292036236</v>
      </c>
      <c r="L85" t="s">
        <v>25</v>
      </c>
      <c r="M85" t="s">
        <v>15</v>
      </c>
    </row>
    <row r="86" spans="1:13" x14ac:dyDescent="0.15">
      <c r="A86">
        <v>5136655</v>
      </c>
      <c r="B86" t="s">
        <v>277</v>
      </c>
      <c r="C86" s="1">
        <v>41515</v>
      </c>
      <c r="D86">
        <v>12</v>
      </c>
      <c r="F86" t="s">
        <v>278</v>
      </c>
      <c r="H86" t="s">
        <v>18</v>
      </c>
      <c r="I86" t="s">
        <v>279</v>
      </c>
      <c r="J86" t="str">
        <f>"9781292024769"</f>
        <v>9781292024769</v>
      </c>
      <c r="K86" t="str">
        <f>"9781292037431"</f>
        <v>9781292037431</v>
      </c>
      <c r="L86" t="s">
        <v>25</v>
      </c>
      <c r="M86" t="s">
        <v>15</v>
      </c>
    </row>
    <row r="87" spans="1:13" x14ac:dyDescent="0.15">
      <c r="A87">
        <v>5136656</v>
      </c>
      <c r="B87" t="s">
        <v>280</v>
      </c>
      <c r="C87" s="1">
        <v>41513</v>
      </c>
      <c r="D87">
        <v>12</v>
      </c>
      <c r="F87" t="s">
        <v>278</v>
      </c>
      <c r="H87" t="s">
        <v>18</v>
      </c>
      <c r="I87" t="s">
        <v>281</v>
      </c>
      <c r="J87" t="str">
        <f>"9781292021829"</f>
        <v>9781292021829</v>
      </c>
      <c r="K87" t="str">
        <f>"9781292035031"</f>
        <v>9781292035031</v>
      </c>
      <c r="L87" t="s">
        <v>25</v>
      </c>
      <c r="M87" t="s">
        <v>15</v>
      </c>
    </row>
    <row r="88" spans="1:13" x14ac:dyDescent="0.15">
      <c r="A88">
        <v>5136657</v>
      </c>
      <c r="B88" t="s">
        <v>282</v>
      </c>
      <c r="C88" s="1">
        <v>41515</v>
      </c>
      <c r="D88">
        <v>12</v>
      </c>
      <c r="F88" t="s">
        <v>278</v>
      </c>
      <c r="H88" t="s">
        <v>18</v>
      </c>
      <c r="I88" t="s">
        <v>283</v>
      </c>
      <c r="J88" t="str">
        <f>"9781292023717"</f>
        <v>9781292023717</v>
      </c>
      <c r="K88" t="str">
        <f>"9781292036847"</f>
        <v>9781292036847</v>
      </c>
      <c r="L88" t="s">
        <v>25</v>
      </c>
      <c r="M88" t="s">
        <v>15</v>
      </c>
    </row>
    <row r="89" spans="1:13" x14ac:dyDescent="0.15">
      <c r="A89">
        <v>5136660</v>
      </c>
      <c r="B89" t="s">
        <v>284</v>
      </c>
      <c r="C89" s="1">
        <v>41515</v>
      </c>
      <c r="D89">
        <v>3</v>
      </c>
      <c r="F89" t="s">
        <v>285</v>
      </c>
      <c r="H89" t="s">
        <v>18</v>
      </c>
      <c r="I89" t="s">
        <v>286</v>
      </c>
      <c r="J89" t="str">
        <f>"9781292026299"</f>
        <v>9781292026299</v>
      </c>
      <c r="K89" t="str">
        <f>"9781292038681"</f>
        <v>9781292038681</v>
      </c>
      <c r="L89" t="s">
        <v>25</v>
      </c>
      <c r="M89" t="s">
        <v>15</v>
      </c>
    </row>
    <row r="90" spans="1:13" x14ac:dyDescent="0.15">
      <c r="A90">
        <v>5136661</v>
      </c>
      <c r="B90" t="s">
        <v>287</v>
      </c>
      <c r="C90" s="1">
        <v>41513</v>
      </c>
      <c r="D90">
        <v>11</v>
      </c>
      <c r="F90" t="s">
        <v>288</v>
      </c>
      <c r="H90" t="s">
        <v>18</v>
      </c>
      <c r="I90" t="s">
        <v>289</v>
      </c>
      <c r="J90" t="str">
        <f>"9781292021959"</f>
        <v>9781292021959</v>
      </c>
      <c r="K90" t="str">
        <f>"9781292035161"</f>
        <v>9781292035161</v>
      </c>
      <c r="L90" t="s">
        <v>25</v>
      </c>
      <c r="M90" t="s">
        <v>15</v>
      </c>
    </row>
    <row r="91" spans="1:13" x14ac:dyDescent="0.15">
      <c r="A91">
        <v>5136663</v>
      </c>
      <c r="B91" t="s">
        <v>290</v>
      </c>
      <c r="C91" s="1">
        <v>41514</v>
      </c>
      <c r="D91">
        <v>4</v>
      </c>
      <c r="F91" t="s">
        <v>291</v>
      </c>
      <c r="H91" t="s">
        <v>18</v>
      </c>
      <c r="I91" t="s">
        <v>292</v>
      </c>
      <c r="J91" t="str">
        <f>"9781292023274"</f>
        <v>9781292023274</v>
      </c>
      <c r="K91" t="str">
        <f>"9781292036441"</f>
        <v>9781292036441</v>
      </c>
      <c r="L91" t="s">
        <v>25</v>
      </c>
      <c r="M91" t="s">
        <v>15</v>
      </c>
    </row>
    <row r="92" spans="1:13" x14ac:dyDescent="0.15">
      <c r="A92">
        <v>5136664</v>
      </c>
      <c r="B92" t="s">
        <v>293</v>
      </c>
      <c r="C92" s="1">
        <v>40553</v>
      </c>
      <c r="D92">
        <v>2</v>
      </c>
      <c r="F92" t="s">
        <v>295</v>
      </c>
      <c r="H92" t="s">
        <v>18</v>
      </c>
      <c r="I92" t="s">
        <v>296</v>
      </c>
      <c r="J92" t="str">
        <f>"9780321435330"</f>
        <v>9780321435330</v>
      </c>
      <c r="K92" t="str">
        <f>"9780273743538"</f>
        <v>9780273743538</v>
      </c>
      <c r="L92" t="s">
        <v>25</v>
      </c>
      <c r="M92" t="s">
        <v>294</v>
      </c>
    </row>
    <row r="93" spans="1:13" x14ac:dyDescent="0.15">
      <c r="A93">
        <v>5136665</v>
      </c>
      <c r="B93" t="s">
        <v>297</v>
      </c>
      <c r="C93" s="1">
        <v>41339</v>
      </c>
      <c r="D93">
        <v>12</v>
      </c>
      <c r="F93" t="s">
        <v>299</v>
      </c>
      <c r="G93" t="s">
        <v>300</v>
      </c>
      <c r="H93" t="s">
        <v>18</v>
      </c>
      <c r="I93" t="s">
        <v>301</v>
      </c>
      <c r="J93" t="str">
        <f>"9780273753186"</f>
        <v>9780273753186</v>
      </c>
      <c r="K93" t="str">
        <f>"9781447930242"</f>
        <v>9781447930242</v>
      </c>
      <c r="L93" t="s">
        <v>25</v>
      </c>
      <c r="M93" t="s">
        <v>298</v>
      </c>
    </row>
    <row r="94" spans="1:13" x14ac:dyDescent="0.15">
      <c r="A94">
        <v>5136666</v>
      </c>
      <c r="B94" t="s">
        <v>302</v>
      </c>
      <c r="C94" s="1">
        <v>41472</v>
      </c>
      <c r="D94">
        <v>12</v>
      </c>
      <c r="F94" t="s">
        <v>303</v>
      </c>
      <c r="G94" t="s">
        <v>304</v>
      </c>
      <c r="H94" t="s">
        <v>18</v>
      </c>
      <c r="I94" t="s">
        <v>305</v>
      </c>
      <c r="J94" t="str">
        <f>"9781292025117"</f>
        <v>9781292025117</v>
      </c>
      <c r="K94" t="str">
        <f>"9781292037707"</f>
        <v>9781292037707</v>
      </c>
      <c r="L94" t="s">
        <v>25</v>
      </c>
      <c r="M94" t="s">
        <v>15</v>
      </c>
    </row>
    <row r="95" spans="1:13" x14ac:dyDescent="0.15">
      <c r="A95">
        <v>5136669</v>
      </c>
      <c r="B95" t="s">
        <v>306</v>
      </c>
      <c r="C95" s="1">
        <v>41579</v>
      </c>
      <c r="D95">
        <v>11</v>
      </c>
      <c r="F95" t="s">
        <v>307</v>
      </c>
      <c r="H95" t="s">
        <v>18</v>
      </c>
      <c r="I95" t="s">
        <v>308</v>
      </c>
      <c r="J95" t="str">
        <f>"9781292023694"</f>
        <v>9781292023694</v>
      </c>
      <c r="K95" t="str">
        <f>"9781292036823"</f>
        <v>9781292036823</v>
      </c>
      <c r="L95" t="s">
        <v>25</v>
      </c>
      <c r="M95" t="s">
        <v>15</v>
      </c>
    </row>
    <row r="96" spans="1:13" x14ac:dyDescent="0.15">
      <c r="A96">
        <v>5136670</v>
      </c>
      <c r="B96" t="s">
        <v>309</v>
      </c>
      <c r="C96" s="1">
        <v>41514</v>
      </c>
      <c r="D96">
        <v>11</v>
      </c>
      <c r="F96" t="s">
        <v>310</v>
      </c>
      <c r="H96" t="s">
        <v>18</v>
      </c>
      <c r="I96" t="s">
        <v>311</v>
      </c>
      <c r="J96" t="str">
        <f>"9781292023595"</f>
        <v>9781292023595</v>
      </c>
      <c r="K96" t="str">
        <f>"9781292036755"</f>
        <v>9781292036755</v>
      </c>
      <c r="L96" t="s">
        <v>25</v>
      </c>
      <c r="M96" t="s">
        <v>15</v>
      </c>
    </row>
    <row r="97" spans="1:13" x14ac:dyDescent="0.15">
      <c r="A97">
        <v>5136671</v>
      </c>
      <c r="B97" t="s">
        <v>312</v>
      </c>
      <c r="C97" s="1">
        <v>41515</v>
      </c>
      <c r="D97">
        <v>2</v>
      </c>
      <c r="F97" t="s">
        <v>313</v>
      </c>
      <c r="H97" t="s">
        <v>18</v>
      </c>
      <c r="I97" t="s">
        <v>314</v>
      </c>
      <c r="J97" t="str">
        <f>"9781292023779"</f>
        <v>9781292023779</v>
      </c>
      <c r="K97" t="str">
        <f>"9781292036908"</f>
        <v>9781292036908</v>
      </c>
      <c r="L97" t="s">
        <v>25</v>
      </c>
      <c r="M97" t="s">
        <v>15</v>
      </c>
    </row>
    <row r="98" spans="1:13" x14ac:dyDescent="0.15">
      <c r="A98">
        <v>5136672</v>
      </c>
      <c r="B98" t="s">
        <v>315</v>
      </c>
      <c r="C98" s="1">
        <v>41513</v>
      </c>
      <c r="D98">
        <v>4</v>
      </c>
      <c r="F98" t="s">
        <v>316</v>
      </c>
      <c r="H98" t="s">
        <v>18</v>
      </c>
      <c r="I98" t="s">
        <v>317</v>
      </c>
      <c r="J98" t="str">
        <f>"9781292021485"</f>
        <v>9781292021485</v>
      </c>
      <c r="K98" t="str">
        <f>"9781292034713"</f>
        <v>9781292034713</v>
      </c>
      <c r="L98" t="s">
        <v>25</v>
      </c>
      <c r="M98" t="s">
        <v>15</v>
      </c>
    </row>
    <row r="99" spans="1:13" x14ac:dyDescent="0.15">
      <c r="A99">
        <v>5136673</v>
      </c>
      <c r="B99" t="s">
        <v>318</v>
      </c>
      <c r="C99" s="1">
        <v>41515</v>
      </c>
      <c r="D99">
        <v>10</v>
      </c>
      <c r="F99" t="s">
        <v>319</v>
      </c>
      <c r="H99" t="s">
        <v>18</v>
      </c>
      <c r="I99" t="s">
        <v>320</v>
      </c>
      <c r="J99" t="str">
        <f>"9781292023960"</f>
        <v>9781292023960</v>
      </c>
      <c r="K99" t="str">
        <f>"9781292037066"</f>
        <v>9781292037066</v>
      </c>
      <c r="L99" t="s">
        <v>25</v>
      </c>
      <c r="M99" t="s">
        <v>15</v>
      </c>
    </row>
    <row r="100" spans="1:13" x14ac:dyDescent="0.15">
      <c r="A100">
        <v>5136678</v>
      </c>
      <c r="B100" t="s">
        <v>321</v>
      </c>
      <c r="C100" s="1">
        <v>41339</v>
      </c>
      <c r="D100">
        <v>5</v>
      </c>
      <c r="F100" t="s">
        <v>322</v>
      </c>
      <c r="G100" t="s">
        <v>323</v>
      </c>
      <c r="H100" t="s">
        <v>18</v>
      </c>
      <c r="I100" t="s">
        <v>324</v>
      </c>
      <c r="J100" t="str">
        <f>"9780273742869"</f>
        <v>9780273742869</v>
      </c>
      <c r="K100" t="str">
        <f>"9780273742876"</f>
        <v>9780273742876</v>
      </c>
      <c r="L100" t="s">
        <v>25</v>
      </c>
      <c r="M100" t="s">
        <v>15</v>
      </c>
    </row>
    <row r="101" spans="1:13" x14ac:dyDescent="0.15">
      <c r="A101">
        <v>5136681</v>
      </c>
      <c r="B101" t="s">
        <v>325</v>
      </c>
      <c r="C101" s="1">
        <v>41514</v>
      </c>
      <c r="D101">
        <v>6</v>
      </c>
      <c r="F101" t="s">
        <v>326</v>
      </c>
      <c r="H101" t="s">
        <v>18</v>
      </c>
      <c r="I101" t="s">
        <v>327</v>
      </c>
      <c r="J101" t="str">
        <f>"9781292023366"</f>
        <v>9781292023366</v>
      </c>
      <c r="K101" t="str">
        <f>"9781292036533"</f>
        <v>9781292036533</v>
      </c>
      <c r="L101" t="s">
        <v>25</v>
      </c>
      <c r="M101" t="s">
        <v>15</v>
      </c>
    </row>
    <row r="102" spans="1:13" x14ac:dyDescent="0.15">
      <c r="A102">
        <v>5136682</v>
      </c>
      <c r="B102" t="s">
        <v>328</v>
      </c>
      <c r="C102" s="1">
        <v>41513</v>
      </c>
      <c r="D102">
        <v>6</v>
      </c>
      <c r="F102" t="s">
        <v>326</v>
      </c>
      <c r="H102" t="s">
        <v>18</v>
      </c>
      <c r="I102" t="s">
        <v>329</v>
      </c>
      <c r="J102" t="str">
        <f>"9781292022284"</f>
        <v>9781292022284</v>
      </c>
      <c r="K102" t="str">
        <f>"9781292035482"</f>
        <v>9781292035482</v>
      </c>
      <c r="L102" t="s">
        <v>25</v>
      </c>
      <c r="M102" t="s">
        <v>15</v>
      </c>
    </row>
    <row r="103" spans="1:13" x14ac:dyDescent="0.15">
      <c r="A103">
        <v>5136684</v>
      </c>
      <c r="B103" t="s">
        <v>330</v>
      </c>
      <c r="C103" s="1">
        <v>41515</v>
      </c>
      <c r="D103">
        <v>12</v>
      </c>
      <c r="F103" t="s">
        <v>331</v>
      </c>
      <c r="H103" t="s">
        <v>18</v>
      </c>
      <c r="I103" t="s">
        <v>332</v>
      </c>
      <c r="J103" t="str">
        <f>"9781292024004"</f>
        <v>9781292024004</v>
      </c>
      <c r="K103" t="str">
        <f>"9781292037080"</f>
        <v>9781292037080</v>
      </c>
      <c r="L103" t="s">
        <v>25</v>
      </c>
      <c r="M103" t="s">
        <v>15</v>
      </c>
    </row>
    <row r="104" spans="1:13" x14ac:dyDescent="0.15">
      <c r="A104">
        <v>5136688</v>
      </c>
      <c r="B104" t="s">
        <v>333</v>
      </c>
      <c r="C104" s="1">
        <v>41353</v>
      </c>
      <c r="D104">
        <v>2</v>
      </c>
      <c r="F104" t="s">
        <v>334</v>
      </c>
      <c r="H104" t="s">
        <v>18</v>
      </c>
      <c r="I104" t="s">
        <v>335</v>
      </c>
      <c r="J104" t="str">
        <f>""</f>
        <v/>
      </c>
      <c r="K104" t="str">
        <f>"9780273775409"</f>
        <v>9780273775409</v>
      </c>
      <c r="L104" t="s">
        <v>25</v>
      </c>
      <c r="M104" t="s">
        <v>298</v>
      </c>
    </row>
    <row r="105" spans="1:13" x14ac:dyDescent="0.15">
      <c r="A105">
        <v>5136689</v>
      </c>
      <c r="B105" t="s">
        <v>336</v>
      </c>
      <c r="C105" s="1">
        <v>41584</v>
      </c>
      <c r="D105">
        <v>11</v>
      </c>
      <c r="F105" t="s">
        <v>337</v>
      </c>
      <c r="H105" t="s">
        <v>18</v>
      </c>
      <c r="I105" t="s">
        <v>338</v>
      </c>
      <c r="J105" t="str">
        <f>"9780273751397"</f>
        <v>9780273751397</v>
      </c>
      <c r="K105" t="str">
        <f>"9781447930440"</f>
        <v>9781447930440</v>
      </c>
      <c r="L105" t="s">
        <v>25</v>
      </c>
      <c r="M105" t="s">
        <v>298</v>
      </c>
    </row>
    <row r="106" spans="1:13" x14ac:dyDescent="0.15">
      <c r="A106">
        <v>5136690</v>
      </c>
      <c r="B106" t="s">
        <v>339</v>
      </c>
      <c r="C106" s="1">
        <v>40745</v>
      </c>
      <c r="D106">
        <v>2</v>
      </c>
      <c r="F106" t="s">
        <v>340</v>
      </c>
      <c r="G106" t="s">
        <v>36</v>
      </c>
      <c r="H106" t="s">
        <v>18</v>
      </c>
      <c r="I106" t="s">
        <v>341</v>
      </c>
      <c r="J106" t="str">
        <f>"9780273732952"</f>
        <v>9780273732952</v>
      </c>
      <c r="K106" t="str">
        <f>"9780273732990"</f>
        <v>9780273732990</v>
      </c>
      <c r="L106" t="s">
        <v>25</v>
      </c>
      <c r="M106" t="s">
        <v>39</v>
      </c>
    </row>
    <row r="107" spans="1:13" x14ac:dyDescent="0.15">
      <c r="A107">
        <v>5136691</v>
      </c>
      <c r="B107" t="s">
        <v>342</v>
      </c>
      <c r="C107" s="1">
        <v>41513</v>
      </c>
      <c r="D107">
        <v>12</v>
      </c>
      <c r="F107" t="s">
        <v>343</v>
      </c>
      <c r="G107" t="s">
        <v>344</v>
      </c>
      <c r="H107" t="s">
        <v>18</v>
      </c>
      <c r="I107" t="s">
        <v>345</v>
      </c>
      <c r="J107" t="str">
        <f>"9781292021522"</f>
        <v>9781292021522</v>
      </c>
      <c r="K107" t="str">
        <f>"9781292034751"</f>
        <v>9781292034751</v>
      </c>
      <c r="L107" t="s">
        <v>25</v>
      </c>
      <c r="M107" t="s">
        <v>15</v>
      </c>
    </row>
    <row r="108" spans="1:13" x14ac:dyDescent="0.15">
      <c r="A108">
        <v>5136692</v>
      </c>
      <c r="B108" t="s">
        <v>346</v>
      </c>
      <c r="C108" s="1">
        <v>41550</v>
      </c>
      <c r="D108">
        <v>10</v>
      </c>
      <c r="F108" t="s">
        <v>347</v>
      </c>
      <c r="H108" t="s">
        <v>18</v>
      </c>
      <c r="I108" t="s">
        <v>348</v>
      </c>
      <c r="J108" t="str">
        <f>"9781292027609"</f>
        <v>9781292027609</v>
      </c>
      <c r="K108" t="str">
        <f>"9781292052168"</f>
        <v>9781292052168</v>
      </c>
      <c r="L108" t="s">
        <v>25</v>
      </c>
      <c r="M108" t="s">
        <v>15</v>
      </c>
    </row>
    <row r="109" spans="1:13" x14ac:dyDescent="0.15">
      <c r="A109">
        <v>5136693</v>
      </c>
      <c r="B109" t="s">
        <v>349</v>
      </c>
      <c r="C109" s="1">
        <v>41485</v>
      </c>
      <c r="D109">
        <v>7</v>
      </c>
      <c r="F109" t="s">
        <v>350</v>
      </c>
      <c r="G109" t="s">
        <v>351</v>
      </c>
      <c r="H109" t="s">
        <v>18</v>
      </c>
      <c r="I109" t="s">
        <v>352</v>
      </c>
      <c r="J109" t="str">
        <f>"9781292024363"</f>
        <v>9781292024363</v>
      </c>
      <c r="K109" t="str">
        <f>"9781292037257"</f>
        <v>9781292037257</v>
      </c>
      <c r="L109" t="s">
        <v>25</v>
      </c>
      <c r="M109" t="s">
        <v>15</v>
      </c>
    </row>
    <row r="110" spans="1:13" x14ac:dyDescent="0.15">
      <c r="A110">
        <v>5136694</v>
      </c>
      <c r="B110" t="s">
        <v>353</v>
      </c>
      <c r="C110" s="1">
        <v>41513</v>
      </c>
      <c r="D110">
        <v>2</v>
      </c>
      <c r="F110" t="s">
        <v>350</v>
      </c>
      <c r="H110" t="s">
        <v>18</v>
      </c>
      <c r="I110" t="s">
        <v>354</v>
      </c>
      <c r="J110" t="str">
        <f>"9781292020815"</f>
        <v>9781292020815</v>
      </c>
      <c r="K110" t="str">
        <f>"9781292034065"</f>
        <v>9781292034065</v>
      </c>
      <c r="L110" t="s">
        <v>25</v>
      </c>
      <c r="M110" t="s">
        <v>15</v>
      </c>
    </row>
    <row r="111" spans="1:13" x14ac:dyDescent="0.15">
      <c r="A111">
        <v>5136696</v>
      </c>
      <c r="B111" t="s">
        <v>355</v>
      </c>
      <c r="C111" s="1">
        <v>41514</v>
      </c>
      <c r="D111">
        <v>4</v>
      </c>
      <c r="F111" t="s">
        <v>356</v>
      </c>
      <c r="H111" t="s">
        <v>18</v>
      </c>
      <c r="I111" t="s">
        <v>357</v>
      </c>
      <c r="J111" t="str">
        <f>"9781292022406"</f>
        <v>9781292022406</v>
      </c>
      <c r="K111" t="str">
        <f>"9781292035604"</f>
        <v>9781292035604</v>
      </c>
      <c r="L111" t="s">
        <v>25</v>
      </c>
      <c r="M111" t="s">
        <v>15</v>
      </c>
    </row>
    <row r="112" spans="1:13" x14ac:dyDescent="0.15">
      <c r="A112">
        <v>5136697</v>
      </c>
      <c r="B112" t="s">
        <v>358</v>
      </c>
      <c r="C112" s="1">
        <v>40553</v>
      </c>
      <c r="D112">
        <v>5</v>
      </c>
      <c r="F112" t="s">
        <v>359</v>
      </c>
      <c r="G112" t="s">
        <v>36</v>
      </c>
      <c r="H112" t="s">
        <v>18</v>
      </c>
      <c r="I112" t="s">
        <v>360</v>
      </c>
      <c r="J112" t="str">
        <f>"9780273730712"</f>
        <v>9780273730712</v>
      </c>
      <c r="K112" t="str">
        <f>"9780273731061"</f>
        <v>9780273731061</v>
      </c>
      <c r="L112" t="s">
        <v>25</v>
      </c>
      <c r="M112" t="s">
        <v>39</v>
      </c>
    </row>
    <row r="113" spans="1:13" x14ac:dyDescent="0.15">
      <c r="A113">
        <v>5136698</v>
      </c>
      <c r="B113" t="s">
        <v>361</v>
      </c>
      <c r="C113" s="1">
        <v>40695</v>
      </c>
      <c r="D113">
        <v>7</v>
      </c>
      <c r="F113" t="s">
        <v>359</v>
      </c>
      <c r="G113" t="s">
        <v>36</v>
      </c>
      <c r="H113" t="s">
        <v>18</v>
      </c>
      <c r="I113" t="s">
        <v>362</v>
      </c>
      <c r="J113" t="str">
        <f>"9780273749998"</f>
        <v>9780273749998</v>
      </c>
      <c r="K113" t="str">
        <f>"9780273750000"</f>
        <v>9780273750000</v>
      </c>
      <c r="L113" t="s">
        <v>25</v>
      </c>
      <c r="M113" t="s">
        <v>39</v>
      </c>
    </row>
    <row r="114" spans="1:13" x14ac:dyDescent="0.15">
      <c r="A114">
        <v>5136702</v>
      </c>
      <c r="B114" t="s">
        <v>363</v>
      </c>
      <c r="C114" s="1">
        <v>41436</v>
      </c>
      <c r="D114">
        <v>7</v>
      </c>
      <c r="F114" t="s">
        <v>364</v>
      </c>
      <c r="H114" t="s">
        <v>18</v>
      </c>
      <c r="I114" t="s">
        <v>365</v>
      </c>
      <c r="J114" t="str">
        <f>"9781447923541"</f>
        <v>9781447923541</v>
      </c>
      <c r="K114" t="str">
        <f>"9781447923558"</f>
        <v>9781447923558</v>
      </c>
      <c r="L114" t="s">
        <v>25</v>
      </c>
      <c r="M114" t="s">
        <v>15</v>
      </c>
    </row>
    <row r="115" spans="1:13" x14ac:dyDescent="0.15">
      <c r="A115">
        <v>5136707</v>
      </c>
      <c r="B115" t="s">
        <v>366</v>
      </c>
      <c r="C115" s="1">
        <v>41194</v>
      </c>
      <c r="D115">
        <v>5</v>
      </c>
      <c r="F115" t="s">
        <v>367</v>
      </c>
      <c r="H115" t="s">
        <v>18</v>
      </c>
      <c r="I115" t="s">
        <v>368</v>
      </c>
      <c r="J115" t="str">
        <f>"9780273746102"</f>
        <v>9780273746102</v>
      </c>
      <c r="K115" t="str">
        <f>"9780273746225"</f>
        <v>9780273746225</v>
      </c>
      <c r="L115" t="s">
        <v>25</v>
      </c>
      <c r="M115" t="s">
        <v>15</v>
      </c>
    </row>
    <row r="116" spans="1:13" x14ac:dyDescent="0.15">
      <c r="A116">
        <v>5136709</v>
      </c>
      <c r="B116" t="s">
        <v>369</v>
      </c>
      <c r="C116" s="1">
        <v>41514</v>
      </c>
      <c r="D116">
        <v>7</v>
      </c>
      <c r="F116" t="s">
        <v>370</v>
      </c>
      <c r="H116" t="s">
        <v>18</v>
      </c>
      <c r="I116" t="s">
        <v>371</v>
      </c>
      <c r="J116" t="str">
        <f>"9781292023519"</f>
        <v>9781292023519</v>
      </c>
      <c r="K116" t="str">
        <f>"9781292036687"</f>
        <v>9781292036687</v>
      </c>
      <c r="L116" t="s">
        <v>25</v>
      </c>
      <c r="M116" t="s">
        <v>15</v>
      </c>
    </row>
    <row r="117" spans="1:13" x14ac:dyDescent="0.15">
      <c r="A117">
        <v>5136711</v>
      </c>
      <c r="B117" t="s">
        <v>372</v>
      </c>
      <c r="C117" s="1">
        <v>41513</v>
      </c>
      <c r="D117">
        <v>11</v>
      </c>
      <c r="F117" t="s">
        <v>373</v>
      </c>
      <c r="H117" t="s">
        <v>18</v>
      </c>
      <c r="I117" t="s">
        <v>374</v>
      </c>
      <c r="J117" t="str">
        <f>"9781292022345"</f>
        <v>9781292022345</v>
      </c>
      <c r="K117" t="str">
        <f>"9781292035543"</f>
        <v>9781292035543</v>
      </c>
      <c r="L117" t="s">
        <v>25</v>
      </c>
      <c r="M117" t="s">
        <v>15</v>
      </c>
    </row>
    <row r="118" spans="1:13" x14ac:dyDescent="0.15">
      <c r="A118">
        <v>5136712</v>
      </c>
      <c r="B118" t="s">
        <v>375</v>
      </c>
      <c r="C118" s="1">
        <v>41550</v>
      </c>
      <c r="D118">
        <v>9</v>
      </c>
      <c r="F118" t="s">
        <v>376</v>
      </c>
      <c r="H118" t="s">
        <v>18</v>
      </c>
      <c r="I118" t="s">
        <v>377</v>
      </c>
      <c r="J118" t="str">
        <f>"9781292027432"</f>
        <v>9781292027432</v>
      </c>
      <c r="K118" t="str">
        <f>"9781292052380"</f>
        <v>9781292052380</v>
      </c>
      <c r="L118" t="s">
        <v>25</v>
      </c>
      <c r="M118" t="s">
        <v>15</v>
      </c>
    </row>
    <row r="119" spans="1:13" x14ac:dyDescent="0.15">
      <c r="A119">
        <v>5136713</v>
      </c>
      <c r="B119" t="s">
        <v>378</v>
      </c>
      <c r="C119" s="1">
        <v>41513</v>
      </c>
      <c r="D119">
        <v>8</v>
      </c>
      <c r="F119" t="s">
        <v>379</v>
      </c>
      <c r="H119" t="s">
        <v>18</v>
      </c>
      <c r="I119" t="s">
        <v>380</v>
      </c>
      <c r="J119" t="str">
        <f>"9781292020716"</f>
        <v>9781292020716</v>
      </c>
      <c r="K119" t="str">
        <f>"9781292033969"</f>
        <v>9781292033969</v>
      </c>
      <c r="L119" t="s">
        <v>25</v>
      </c>
      <c r="M119" t="s">
        <v>15</v>
      </c>
    </row>
    <row r="120" spans="1:13" x14ac:dyDescent="0.15">
      <c r="A120">
        <v>5136715</v>
      </c>
      <c r="B120" t="s">
        <v>381</v>
      </c>
      <c r="C120" s="1">
        <v>41513</v>
      </c>
      <c r="D120">
        <v>3</v>
      </c>
      <c r="F120" t="s">
        <v>382</v>
      </c>
      <c r="H120" t="s">
        <v>18</v>
      </c>
      <c r="I120" t="s">
        <v>383</v>
      </c>
      <c r="J120" t="str">
        <f>"9781292022093"</f>
        <v>9781292022093</v>
      </c>
      <c r="K120" t="str">
        <f>"9781292035307"</f>
        <v>9781292035307</v>
      </c>
      <c r="L120" t="s">
        <v>25</v>
      </c>
      <c r="M120" t="s">
        <v>15</v>
      </c>
    </row>
    <row r="121" spans="1:13" x14ac:dyDescent="0.15">
      <c r="A121">
        <v>5136716</v>
      </c>
      <c r="B121" t="s">
        <v>384</v>
      </c>
      <c r="C121" s="1">
        <v>40630</v>
      </c>
      <c r="D121">
        <v>1</v>
      </c>
      <c r="F121" t="s">
        <v>385</v>
      </c>
      <c r="H121" t="s">
        <v>18</v>
      </c>
      <c r="I121" t="s">
        <v>386</v>
      </c>
      <c r="J121" t="str">
        <f>""</f>
        <v/>
      </c>
      <c r="K121" t="str">
        <f>"9780273740551"</f>
        <v>9780273740551</v>
      </c>
      <c r="L121" t="s">
        <v>25</v>
      </c>
      <c r="M121" t="s">
        <v>112</v>
      </c>
    </row>
    <row r="122" spans="1:13" x14ac:dyDescent="0.15">
      <c r="A122">
        <v>5136719</v>
      </c>
      <c r="B122" t="s">
        <v>387</v>
      </c>
      <c r="C122" s="1">
        <v>41550</v>
      </c>
      <c r="D122">
        <v>4</v>
      </c>
      <c r="F122" t="s">
        <v>388</v>
      </c>
      <c r="H122" t="s">
        <v>18</v>
      </c>
      <c r="I122" t="s">
        <v>389</v>
      </c>
      <c r="J122" t="str">
        <f>"9781292041209"</f>
        <v>9781292041209</v>
      </c>
      <c r="K122" t="str">
        <f>"9781292052458"</f>
        <v>9781292052458</v>
      </c>
      <c r="L122" t="s">
        <v>25</v>
      </c>
      <c r="M122" t="s">
        <v>15</v>
      </c>
    </row>
    <row r="123" spans="1:13" x14ac:dyDescent="0.15">
      <c r="A123">
        <v>5136722</v>
      </c>
      <c r="B123" t="s">
        <v>390</v>
      </c>
      <c r="C123" s="1">
        <v>41393</v>
      </c>
      <c r="D123">
        <v>11</v>
      </c>
      <c r="F123" t="s">
        <v>391</v>
      </c>
      <c r="H123" t="s">
        <v>18</v>
      </c>
      <c r="I123" t="s">
        <v>392</v>
      </c>
      <c r="J123" t="str">
        <f>"9781447923404"</f>
        <v>9781447923404</v>
      </c>
      <c r="K123" t="str">
        <f>"9781447923411"</f>
        <v>9781447923411</v>
      </c>
      <c r="L123" t="s">
        <v>25</v>
      </c>
      <c r="M123" t="s">
        <v>15</v>
      </c>
    </row>
    <row r="124" spans="1:13" x14ac:dyDescent="0.15">
      <c r="A124">
        <v>5136723</v>
      </c>
      <c r="B124" t="s">
        <v>393</v>
      </c>
      <c r="C124" s="1">
        <v>41486</v>
      </c>
      <c r="D124">
        <v>14</v>
      </c>
      <c r="F124" t="s">
        <v>394</v>
      </c>
      <c r="G124" t="s">
        <v>395</v>
      </c>
      <c r="H124" t="s">
        <v>18</v>
      </c>
      <c r="I124" t="s">
        <v>396</v>
      </c>
      <c r="J124" t="str">
        <f>"9781292024820"</f>
        <v>9781292024820</v>
      </c>
      <c r="K124" t="str">
        <f>"9781292037493"</f>
        <v>9781292037493</v>
      </c>
      <c r="L124" t="s">
        <v>25</v>
      </c>
      <c r="M124" t="s">
        <v>15</v>
      </c>
    </row>
    <row r="125" spans="1:13" x14ac:dyDescent="0.15">
      <c r="A125">
        <v>5136724</v>
      </c>
      <c r="B125" t="s">
        <v>397</v>
      </c>
      <c r="C125" s="1">
        <v>41550</v>
      </c>
      <c r="D125">
        <v>8</v>
      </c>
      <c r="F125" t="s">
        <v>398</v>
      </c>
      <c r="H125" t="s">
        <v>18</v>
      </c>
      <c r="I125" t="s">
        <v>399</v>
      </c>
      <c r="J125" t="str">
        <f>"9781292027319"</f>
        <v>9781292027319</v>
      </c>
      <c r="K125" t="str">
        <f>"9781292056326"</f>
        <v>9781292056326</v>
      </c>
      <c r="L125" t="s">
        <v>25</v>
      </c>
      <c r="M125" t="s">
        <v>15</v>
      </c>
    </row>
    <row r="126" spans="1:13" x14ac:dyDescent="0.15">
      <c r="A126">
        <v>5136726</v>
      </c>
      <c r="B126" t="s">
        <v>400</v>
      </c>
      <c r="C126" s="1">
        <v>41514</v>
      </c>
      <c r="D126">
        <v>6</v>
      </c>
      <c r="F126" t="s">
        <v>401</v>
      </c>
      <c r="H126" t="s">
        <v>18</v>
      </c>
      <c r="I126" t="s">
        <v>402</v>
      </c>
      <c r="J126" t="str">
        <f>"9781292022628"</f>
        <v>9781292022628</v>
      </c>
      <c r="K126" t="str">
        <f>"9781292035826"</f>
        <v>9781292035826</v>
      </c>
      <c r="L126" t="s">
        <v>25</v>
      </c>
      <c r="M126" t="s">
        <v>15</v>
      </c>
    </row>
    <row r="127" spans="1:13" x14ac:dyDescent="0.15">
      <c r="A127">
        <v>5136727</v>
      </c>
      <c r="B127" t="s">
        <v>403</v>
      </c>
      <c r="C127" s="1">
        <v>40227</v>
      </c>
      <c r="D127">
        <v>5</v>
      </c>
      <c r="F127" t="s">
        <v>404</v>
      </c>
      <c r="G127" t="s">
        <v>189</v>
      </c>
      <c r="H127" t="s">
        <v>18</v>
      </c>
      <c r="I127" t="s">
        <v>405</v>
      </c>
      <c r="J127" t="str">
        <f>"9780273729402"</f>
        <v>9780273729402</v>
      </c>
      <c r="K127" t="str">
        <f>"9780273729488"</f>
        <v>9780273729488</v>
      </c>
      <c r="L127" t="s">
        <v>25</v>
      </c>
      <c r="M127" t="s">
        <v>112</v>
      </c>
    </row>
    <row r="128" spans="1:13" x14ac:dyDescent="0.15">
      <c r="A128">
        <v>5136731</v>
      </c>
      <c r="B128" t="s">
        <v>406</v>
      </c>
      <c r="C128" s="1">
        <v>41485</v>
      </c>
      <c r="D128">
        <v>3</v>
      </c>
      <c r="F128" t="s">
        <v>407</v>
      </c>
      <c r="G128" t="s">
        <v>408</v>
      </c>
      <c r="H128" t="s">
        <v>18</v>
      </c>
      <c r="I128" t="s">
        <v>409</v>
      </c>
      <c r="J128" t="str">
        <f>"9781292020921"</f>
        <v>9781292020921</v>
      </c>
      <c r="K128" t="str">
        <f>"9781292034171"</f>
        <v>9781292034171</v>
      </c>
      <c r="L128" t="s">
        <v>25</v>
      </c>
      <c r="M128" t="s">
        <v>15</v>
      </c>
    </row>
    <row r="129" spans="1:13" x14ac:dyDescent="0.15">
      <c r="A129">
        <v>5136732</v>
      </c>
      <c r="B129" t="s">
        <v>410</v>
      </c>
      <c r="C129" s="1">
        <v>41128</v>
      </c>
      <c r="D129">
        <v>4</v>
      </c>
      <c r="F129" t="s">
        <v>411</v>
      </c>
      <c r="G129" t="s">
        <v>412</v>
      </c>
      <c r="H129" t="s">
        <v>18</v>
      </c>
      <c r="I129" t="s">
        <v>413</v>
      </c>
      <c r="J129" t="str">
        <f>"9780273740704"</f>
        <v>9780273740704</v>
      </c>
      <c r="K129" t="str">
        <f>"9780273740902"</f>
        <v>9780273740902</v>
      </c>
      <c r="L129" t="s">
        <v>25</v>
      </c>
      <c r="M129" t="s">
        <v>15</v>
      </c>
    </row>
    <row r="130" spans="1:13" x14ac:dyDescent="0.15">
      <c r="A130">
        <v>5136738</v>
      </c>
      <c r="B130" t="s">
        <v>414</v>
      </c>
      <c r="C130" s="1">
        <v>41475</v>
      </c>
      <c r="D130">
        <v>4</v>
      </c>
      <c r="F130" t="s">
        <v>415</v>
      </c>
      <c r="G130" t="s">
        <v>65</v>
      </c>
      <c r="H130" t="s">
        <v>18</v>
      </c>
      <c r="I130" t="s">
        <v>416</v>
      </c>
      <c r="J130" t="str">
        <f>"9781292027999"</f>
        <v>9781292027999</v>
      </c>
      <c r="K130" t="str">
        <f>"9781292052618"</f>
        <v>9781292052618</v>
      </c>
      <c r="L130" t="s">
        <v>25</v>
      </c>
      <c r="M130" t="s">
        <v>15</v>
      </c>
    </row>
    <row r="131" spans="1:13" x14ac:dyDescent="0.15">
      <c r="A131">
        <v>5136742</v>
      </c>
      <c r="B131" t="s">
        <v>417</v>
      </c>
      <c r="C131" s="1">
        <v>41584</v>
      </c>
      <c r="D131">
        <v>9</v>
      </c>
      <c r="F131" t="s">
        <v>418</v>
      </c>
      <c r="H131" t="s">
        <v>18</v>
      </c>
      <c r="I131" t="s">
        <v>419</v>
      </c>
      <c r="J131" t="str">
        <f>"9780273759768"</f>
        <v>9780273759768</v>
      </c>
      <c r="K131" t="str">
        <f>"9781447930167"</f>
        <v>9781447930167</v>
      </c>
      <c r="L131" t="s">
        <v>25</v>
      </c>
      <c r="M131" t="s">
        <v>298</v>
      </c>
    </row>
    <row r="132" spans="1:13" x14ac:dyDescent="0.15">
      <c r="A132">
        <v>5136744</v>
      </c>
      <c r="B132" t="s">
        <v>420</v>
      </c>
      <c r="C132" s="1">
        <v>41514</v>
      </c>
      <c r="D132">
        <v>8</v>
      </c>
      <c r="F132" t="s">
        <v>421</v>
      </c>
      <c r="H132" t="s">
        <v>18</v>
      </c>
      <c r="I132" t="s">
        <v>422</v>
      </c>
      <c r="J132" t="str">
        <f>"9781292022413"</f>
        <v>9781292022413</v>
      </c>
      <c r="K132" t="str">
        <f>"9781292035611"</f>
        <v>9781292035611</v>
      </c>
      <c r="L132" t="s">
        <v>25</v>
      </c>
      <c r="M132" t="s">
        <v>15</v>
      </c>
    </row>
    <row r="133" spans="1:13" x14ac:dyDescent="0.15">
      <c r="A133">
        <v>5136748</v>
      </c>
      <c r="B133" t="s">
        <v>423</v>
      </c>
      <c r="C133" s="1">
        <v>41515</v>
      </c>
      <c r="D133">
        <v>13</v>
      </c>
      <c r="F133" t="s">
        <v>424</v>
      </c>
      <c r="H133" t="s">
        <v>18</v>
      </c>
      <c r="I133" t="s">
        <v>425</v>
      </c>
      <c r="J133" t="str">
        <f>"9781292025162"</f>
        <v>9781292025162</v>
      </c>
      <c r="K133" t="str">
        <f>"9781292037752"</f>
        <v>9781292037752</v>
      </c>
      <c r="L133" t="s">
        <v>25</v>
      </c>
      <c r="M133" t="s">
        <v>15</v>
      </c>
    </row>
    <row r="134" spans="1:13" x14ac:dyDescent="0.15">
      <c r="A134">
        <v>5136749</v>
      </c>
      <c r="B134" t="s">
        <v>426</v>
      </c>
      <c r="C134" s="1">
        <v>41515</v>
      </c>
      <c r="D134">
        <v>12</v>
      </c>
      <c r="F134" t="s">
        <v>424</v>
      </c>
      <c r="H134" t="s">
        <v>18</v>
      </c>
      <c r="I134" t="s">
        <v>427</v>
      </c>
      <c r="J134" t="str">
        <f>"9781292025209"</f>
        <v>9781292025209</v>
      </c>
      <c r="K134" t="str">
        <f>"9781292037783"</f>
        <v>9781292037783</v>
      </c>
      <c r="L134" t="s">
        <v>25</v>
      </c>
      <c r="M134" t="s">
        <v>15</v>
      </c>
    </row>
    <row r="135" spans="1:13" x14ac:dyDescent="0.15">
      <c r="A135">
        <v>5136750</v>
      </c>
      <c r="B135" t="s">
        <v>428</v>
      </c>
      <c r="C135" s="1">
        <v>40807</v>
      </c>
      <c r="D135">
        <v>6</v>
      </c>
      <c r="F135" t="s">
        <v>429</v>
      </c>
      <c r="G135" t="s">
        <v>117</v>
      </c>
      <c r="H135" t="s">
        <v>18</v>
      </c>
      <c r="I135" t="s">
        <v>430</v>
      </c>
      <c r="J135" t="str">
        <f>"9781408226056"</f>
        <v>9781408226056</v>
      </c>
      <c r="K135" t="str">
        <f>"9781408226070"</f>
        <v>9781408226070</v>
      </c>
      <c r="L135" t="s">
        <v>25</v>
      </c>
      <c r="M135" t="s">
        <v>298</v>
      </c>
    </row>
    <row r="136" spans="1:13" x14ac:dyDescent="0.15">
      <c r="A136">
        <v>5136752</v>
      </c>
      <c r="B136" t="s">
        <v>431</v>
      </c>
      <c r="C136" s="1">
        <v>41513</v>
      </c>
      <c r="D136">
        <v>10</v>
      </c>
      <c r="F136" t="s">
        <v>432</v>
      </c>
      <c r="H136" t="s">
        <v>18</v>
      </c>
      <c r="I136" t="s">
        <v>433</v>
      </c>
      <c r="J136" t="str">
        <f>"9781292020402"</f>
        <v>9781292020402</v>
      </c>
      <c r="K136" t="str">
        <f>"9781292033723"</f>
        <v>9781292033723</v>
      </c>
      <c r="L136" t="s">
        <v>25</v>
      </c>
      <c r="M136" t="s">
        <v>15</v>
      </c>
    </row>
    <row r="137" spans="1:13" x14ac:dyDescent="0.15">
      <c r="A137">
        <v>5136754</v>
      </c>
      <c r="B137" t="s">
        <v>434</v>
      </c>
      <c r="C137" s="1">
        <v>41414</v>
      </c>
      <c r="D137">
        <v>2</v>
      </c>
      <c r="F137" t="s">
        <v>139</v>
      </c>
      <c r="H137" t="s">
        <v>18</v>
      </c>
      <c r="I137" t="s">
        <v>435</v>
      </c>
      <c r="J137" t="str">
        <f>"9780273783558"</f>
        <v>9780273783558</v>
      </c>
      <c r="K137" t="str">
        <f>"9780273783572"</f>
        <v>9780273783572</v>
      </c>
      <c r="L137" t="s">
        <v>25</v>
      </c>
      <c r="M137" t="s">
        <v>15</v>
      </c>
    </row>
    <row r="138" spans="1:13" x14ac:dyDescent="0.15">
      <c r="A138">
        <v>5136755</v>
      </c>
      <c r="B138" t="s">
        <v>436</v>
      </c>
      <c r="C138" s="1">
        <v>41436</v>
      </c>
      <c r="D138">
        <v>2</v>
      </c>
      <c r="F138" t="s">
        <v>139</v>
      </c>
      <c r="H138" t="s">
        <v>18</v>
      </c>
      <c r="I138" t="s">
        <v>437</v>
      </c>
      <c r="J138" t="str">
        <f>"9780273783510"</f>
        <v>9780273783510</v>
      </c>
      <c r="K138" t="str">
        <f>"9780273783541"</f>
        <v>9780273783541</v>
      </c>
      <c r="L138" t="s">
        <v>25</v>
      </c>
      <c r="M138" t="s">
        <v>15</v>
      </c>
    </row>
    <row r="139" spans="1:13" x14ac:dyDescent="0.15">
      <c r="A139">
        <v>5136759</v>
      </c>
      <c r="B139" t="s">
        <v>438</v>
      </c>
      <c r="C139" s="1">
        <v>41393</v>
      </c>
      <c r="D139">
        <v>11</v>
      </c>
      <c r="F139" t="s">
        <v>439</v>
      </c>
      <c r="H139" t="s">
        <v>18</v>
      </c>
      <c r="I139" t="s">
        <v>440</v>
      </c>
      <c r="J139" t="str">
        <f>"9781447923237"</f>
        <v>9781447923237</v>
      </c>
      <c r="K139" t="str">
        <f>"9781447923244"</f>
        <v>9781447923244</v>
      </c>
      <c r="L139" t="s">
        <v>25</v>
      </c>
      <c r="M139" t="s">
        <v>15</v>
      </c>
    </row>
    <row r="140" spans="1:13" x14ac:dyDescent="0.15">
      <c r="A140">
        <v>5136760</v>
      </c>
      <c r="B140" t="s">
        <v>441</v>
      </c>
      <c r="C140" s="1">
        <v>41513</v>
      </c>
      <c r="D140">
        <v>9</v>
      </c>
      <c r="F140" t="s">
        <v>442</v>
      </c>
      <c r="H140" t="s">
        <v>18</v>
      </c>
      <c r="I140" t="s">
        <v>443</v>
      </c>
      <c r="J140" t="str">
        <f>"9781292021461"</f>
        <v>9781292021461</v>
      </c>
      <c r="K140" t="str">
        <f>"9781292034690"</f>
        <v>9781292034690</v>
      </c>
      <c r="L140" t="s">
        <v>25</v>
      </c>
      <c r="M140" t="s">
        <v>15</v>
      </c>
    </row>
    <row r="141" spans="1:13" x14ac:dyDescent="0.15">
      <c r="A141">
        <v>5136762</v>
      </c>
      <c r="B141" t="s">
        <v>444</v>
      </c>
      <c r="C141" s="1">
        <v>41513</v>
      </c>
      <c r="D141">
        <v>11</v>
      </c>
      <c r="F141" t="s">
        <v>445</v>
      </c>
      <c r="H141" t="s">
        <v>18</v>
      </c>
      <c r="I141" t="s">
        <v>446</v>
      </c>
      <c r="J141" t="str">
        <f>"9781292022130"</f>
        <v>9781292022130</v>
      </c>
      <c r="K141" t="str">
        <f>"9781292035338"</f>
        <v>9781292035338</v>
      </c>
      <c r="L141" t="s">
        <v>25</v>
      </c>
      <c r="M141" t="s">
        <v>15</v>
      </c>
    </row>
    <row r="142" spans="1:13" x14ac:dyDescent="0.15">
      <c r="A142">
        <v>5136769</v>
      </c>
      <c r="B142" t="s">
        <v>447</v>
      </c>
      <c r="C142" s="1">
        <v>41365</v>
      </c>
      <c r="D142">
        <v>9</v>
      </c>
      <c r="F142" t="s">
        <v>448</v>
      </c>
      <c r="G142" t="s">
        <v>117</v>
      </c>
      <c r="H142" t="s">
        <v>18</v>
      </c>
      <c r="I142" t="s">
        <v>449</v>
      </c>
      <c r="J142" t="str">
        <f>"9780273785781"</f>
        <v>9780273785781</v>
      </c>
      <c r="K142" t="str">
        <f>"9780273785835"</f>
        <v>9780273785835</v>
      </c>
      <c r="L142" t="s">
        <v>25</v>
      </c>
      <c r="M142" t="s">
        <v>15</v>
      </c>
    </row>
    <row r="143" spans="1:13" x14ac:dyDescent="0.15">
      <c r="A143">
        <v>5136770</v>
      </c>
      <c r="B143" t="s">
        <v>450</v>
      </c>
      <c r="C143" s="1">
        <v>41414</v>
      </c>
      <c r="D143">
        <v>9</v>
      </c>
      <c r="F143" t="s">
        <v>451</v>
      </c>
      <c r="H143" t="s">
        <v>18</v>
      </c>
      <c r="I143" t="s">
        <v>452</v>
      </c>
      <c r="J143" t="str">
        <f>"9780273784227"</f>
        <v>9780273784227</v>
      </c>
      <c r="K143" t="str">
        <f>"9780273784265"</f>
        <v>9780273784265</v>
      </c>
      <c r="L143" t="s">
        <v>25</v>
      </c>
      <c r="M143" t="s">
        <v>15</v>
      </c>
    </row>
    <row r="144" spans="1:13" x14ac:dyDescent="0.15">
      <c r="A144">
        <v>5136777</v>
      </c>
      <c r="B144" t="s">
        <v>453</v>
      </c>
      <c r="C144" s="1">
        <v>41550</v>
      </c>
      <c r="D144">
        <v>1</v>
      </c>
      <c r="F144" t="s">
        <v>454</v>
      </c>
      <c r="G144" t="s">
        <v>36</v>
      </c>
      <c r="H144" t="s">
        <v>18</v>
      </c>
      <c r="I144" t="s">
        <v>455</v>
      </c>
      <c r="J144" t="str">
        <f>"9781292039732"</f>
        <v>9781292039732</v>
      </c>
      <c r="K144" t="str">
        <f>"9781292052861"</f>
        <v>9781292052861</v>
      </c>
      <c r="L144" t="s">
        <v>25</v>
      </c>
      <c r="M144" t="s">
        <v>15</v>
      </c>
    </row>
    <row r="145" spans="1:13" x14ac:dyDescent="0.15">
      <c r="A145">
        <v>5136780</v>
      </c>
      <c r="B145" t="s">
        <v>456</v>
      </c>
      <c r="C145" s="1">
        <v>41550</v>
      </c>
      <c r="D145">
        <v>2</v>
      </c>
      <c r="F145" t="s">
        <v>457</v>
      </c>
      <c r="H145" t="s">
        <v>18</v>
      </c>
      <c r="I145" t="s">
        <v>458</v>
      </c>
      <c r="J145" t="str">
        <f>"9781292040462"</f>
        <v>9781292040462</v>
      </c>
      <c r="K145" t="str">
        <f>"9781292052922"</f>
        <v>9781292052922</v>
      </c>
      <c r="L145" t="s">
        <v>25</v>
      </c>
      <c r="M145" t="s">
        <v>15</v>
      </c>
    </row>
    <row r="146" spans="1:13" x14ac:dyDescent="0.15">
      <c r="A146">
        <v>5136782</v>
      </c>
      <c r="B146" t="s">
        <v>459</v>
      </c>
      <c r="C146" s="1">
        <v>41513</v>
      </c>
      <c r="D146">
        <v>3</v>
      </c>
      <c r="F146" t="s">
        <v>460</v>
      </c>
      <c r="H146" t="s">
        <v>18</v>
      </c>
      <c r="I146" t="s">
        <v>461</v>
      </c>
      <c r="J146" t="str">
        <f>"9781292020976"</f>
        <v>9781292020976</v>
      </c>
      <c r="K146" t="str">
        <f>"9781292034225"</f>
        <v>9781292034225</v>
      </c>
      <c r="L146" t="s">
        <v>25</v>
      </c>
      <c r="M146" t="s">
        <v>15</v>
      </c>
    </row>
    <row r="147" spans="1:13" x14ac:dyDescent="0.15">
      <c r="A147">
        <v>5136789</v>
      </c>
      <c r="B147" t="s">
        <v>462</v>
      </c>
      <c r="C147" s="1">
        <v>41515</v>
      </c>
      <c r="D147">
        <v>10</v>
      </c>
      <c r="F147" t="s">
        <v>463</v>
      </c>
      <c r="H147" t="s">
        <v>18</v>
      </c>
      <c r="I147" t="s">
        <v>464</v>
      </c>
      <c r="J147" t="str">
        <f>"9781292025629"</f>
        <v>9781292025629</v>
      </c>
      <c r="K147" t="str">
        <f>"9781292038056"</f>
        <v>9781292038056</v>
      </c>
      <c r="L147" t="s">
        <v>25</v>
      </c>
      <c r="M147" t="s">
        <v>15</v>
      </c>
    </row>
    <row r="148" spans="1:13" x14ac:dyDescent="0.15">
      <c r="A148">
        <v>5136791</v>
      </c>
      <c r="B148" t="s">
        <v>465</v>
      </c>
      <c r="C148" s="1">
        <v>41312</v>
      </c>
      <c r="D148">
        <v>6</v>
      </c>
      <c r="F148" t="s">
        <v>466</v>
      </c>
      <c r="G148" t="s">
        <v>36</v>
      </c>
      <c r="H148" t="s">
        <v>18</v>
      </c>
      <c r="I148" t="s">
        <v>467</v>
      </c>
      <c r="J148" t="str">
        <f>"9780273740988"</f>
        <v>9780273740988</v>
      </c>
      <c r="K148" t="str">
        <f>"9780273740995"</f>
        <v>9780273740995</v>
      </c>
      <c r="L148" t="s">
        <v>25</v>
      </c>
      <c r="M148" t="s">
        <v>39</v>
      </c>
    </row>
    <row r="149" spans="1:13" x14ac:dyDescent="0.15">
      <c r="A149">
        <v>5136795</v>
      </c>
      <c r="B149" t="s">
        <v>468</v>
      </c>
      <c r="C149" s="1">
        <v>41515</v>
      </c>
      <c r="D149">
        <v>12</v>
      </c>
      <c r="F149" t="s">
        <v>469</v>
      </c>
      <c r="H149" t="s">
        <v>18</v>
      </c>
      <c r="I149" t="s">
        <v>470</v>
      </c>
      <c r="J149" t="str">
        <f>"9781292025346"</f>
        <v>9781292025346</v>
      </c>
      <c r="K149" t="str">
        <f>"9781292037905"</f>
        <v>9781292037905</v>
      </c>
      <c r="L149" t="s">
        <v>25</v>
      </c>
      <c r="M149" t="s">
        <v>15</v>
      </c>
    </row>
    <row r="150" spans="1:13" x14ac:dyDescent="0.15">
      <c r="A150">
        <v>5136796</v>
      </c>
      <c r="B150" t="s">
        <v>471</v>
      </c>
      <c r="C150" s="1">
        <v>41514</v>
      </c>
      <c r="D150">
        <v>4</v>
      </c>
      <c r="F150" t="s">
        <v>472</v>
      </c>
      <c r="H150" t="s">
        <v>18</v>
      </c>
      <c r="I150" t="s">
        <v>473</v>
      </c>
      <c r="J150" t="str">
        <f>"9781292023328"</f>
        <v>9781292023328</v>
      </c>
      <c r="K150" t="str">
        <f>"9781292036496"</f>
        <v>9781292036496</v>
      </c>
      <c r="L150" t="s">
        <v>25</v>
      </c>
      <c r="M150" t="s">
        <v>15</v>
      </c>
    </row>
    <row r="151" spans="1:13" x14ac:dyDescent="0.15">
      <c r="A151">
        <v>5136798</v>
      </c>
      <c r="B151" t="s">
        <v>474</v>
      </c>
      <c r="C151" s="1">
        <v>41584</v>
      </c>
      <c r="D151">
        <v>7</v>
      </c>
      <c r="F151" t="s">
        <v>475</v>
      </c>
      <c r="H151" t="s">
        <v>18</v>
      </c>
      <c r="I151" t="s">
        <v>476</v>
      </c>
      <c r="J151" t="str">
        <f>"9780273759836"</f>
        <v>9780273759836</v>
      </c>
      <c r="K151" t="str">
        <f>"9780273785200"</f>
        <v>9780273785200</v>
      </c>
      <c r="L151" t="s">
        <v>25</v>
      </c>
      <c r="M151" t="s">
        <v>298</v>
      </c>
    </row>
    <row r="152" spans="1:13" x14ac:dyDescent="0.15">
      <c r="A152">
        <v>5136799</v>
      </c>
      <c r="B152" t="s">
        <v>477</v>
      </c>
      <c r="C152" s="1">
        <v>41485</v>
      </c>
      <c r="D152">
        <v>2</v>
      </c>
      <c r="F152" t="s">
        <v>475</v>
      </c>
      <c r="G152" t="s">
        <v>478</v>
      </c>
      <c r="H152" t="s">
        <v>18</v>
      </c>
      <c r="I152" t="s">
        <v>479</v>
      </c>
      <c r="J152" t="str">
        <f>"9781292025919"</f>
        <v>9781292025919</v>
      </c>
      <c r="K152" t="str">
        <f>"9781292038339"</f>
        <v>9781292038339</v>
      </c>
      <c r="L152" t="s">
        <v>25</v>
      </c>
      <c r="M152" t="s">
        <v>15</v>
      </c>
    </row>
    <row r="153" spans="1:13" x14ac:dyDescent="0.15">
      <c r="A153">
        <v>5136800</v>
      </c>
      <c r="B153" t="s">
        <v>480</v>
      </c>
      <c r="C153" s="1">
        <v>41515</v>
      </c>
      <c r="D153">
        <v>2</v>
      </c>
      <c r="F153" t="s">
        <v>475</v>
      </c>
      <c r="H153" t="s">
        <v>18</v>
      </c>
      <c r="I153" t="s">
        <v>481</v>
      </c>
      <c r="J153" t="str">
        <f>"9781292025964"</f>
        <v>9781292025964</v>
      </c>
      <c r="K153" t="str">
        <f>"9781292038384"</f>
        <v>9781292038384</v>
      </c>
      <c r="L153" t="s">
        <v>25</v>
      </c>
      <c r="M153" t="s">
        <v>15</v>
      </c>
    </row>
    <row r="154" spans="1:13" x14ac:dyDescent="0.15">
      <c r="A154">
        <v>5136803</v>
      </c>
      <c r="B154" t="s">
        <v>482</v>
      </c>
      <c r="C154" s="1">
        <v>41515</v>
      </c>
      <c r="D154">
        <v>5</v>
      </c>
      <c r="F154" t="s">
        <v>483</v>
      </c>
      <c r="H154" t="s">
        <v>18</v>
      </c>
      <c r="I154" t="s">
        <v>484</v>
      </c>
      <c r="J154" t="str">
        <f>"9781292025223"</f>
        <v>9781292025223</v>
      </c>
      <c r="K154" t="str">
        <f>"9781292037790"</f>
        <v>9781292037790</v>
      </c>
      <c r="L154" t="s">
        <v>25</v>
      </c>
      <c r="M154" t="s">
        <v>15</v>
      </c>
    </row>
    <row r="155" spans="1:13" x14ac:dyDescent="0.15">
      <c r="A155">
        <v>5136804</v>
      </c>
      <c r="B155" t="s">
        <v>485</v>
      </c>
      <c r="C155" s="1">
        <v>41550</v>
      </c>
      <c r="D155">
        <v>10</v>
      </c>
      <c r="F155" t="s">
        <v>486</v>
      </c>
      <c r="H155" t="s">
        <v>18</v>
      </c>
      <c r="I155" t="s">
        <v>487</v>
      </c>
      <c r="J155" t="str">
        <f>"9781292041698"</f>
        <v>9781292041698</v>
      </c>
      <c r="K155" t="str">
        <f>"9781292053158"</f>
        <v>9781292053158</v>
      </c>
      <c r="L155" t="s">
        <v>25</v>
      </c>
      <c r="M155" t="s">
        <v>15</v>
      </c>
    </row>
    <row r="156" spans="1:13" x14ac:dyDescent="0.15">
      <c r="A156">
        <v>5136806</v>
      </c>
      <c r="B156" t="s">
        <v>488</v>
      </c>
      <c r="C156" s="1">
        <v>41393</v>
      </c>
      <c r="D156">
        <v>2</v>
      </c>
      <c r="F156" t="s">
        <v>489</v>
      </c>
      <c r="H156" t="s">
        <v>18</v>
      </c>
      <c r="I156" t="s">
        <v>490</v>
      </c>
      <c r="J156" t="str">
        <f>"9780273783596"</f>
        <v>9780273783596</v>
      </c>
      <c r="K156" t="str">
        <f>"9780273783626"</f>
        <v>9780273783626</v>
      </c>
      <c r="L156" t="s">
        <v>25</v>
      </c>
      <c r="M156" t="s">
        <v>15</v>
      </c>
    </row>
    <row r="157" spans="1:13" x14ac:dyDescent="0.15">
      <c r="A157">
        <v>5136807</v>
      </c>
      <c r="B157" t="s">
        <v>491</v>
      </c>
      <c r="C157" s="1">
        <v>41480</v>
      </c>
      <c r="D157">
        <v>4</v>
      </c>
      <c r="F157" t="s">
        <v>492</v>
      </c>
      <c r="G157" t="s">
        <v>157</v>
      </c>
      <c r="H157" t="s">
        <v>18</v>
      </c>
      <c r="I157" t="s">
        <v>493</v>
      </c>
      <c r="J157" t="str">
        <f>"9781292026022"</f>
        <v>9781292026022</v>
      </c>
      <c r="K157" t="str">
        <f>"9781292038438"</f>
        <v>9781292038438</v>
      </c>
      <c r="L157" t="s">
        <v>25</v>
      </c>
      <c r="M157" t="s">
        <v>15</v>
      </c>
    </row>
    <row r="158" spans="1:13" x14ac:dyDescent="0.15">
      <c r="A158">
        <v>5136809</v>
      </c>
      <c r="B158" t="s">
        <v>494</v>
      </c>
      <c r="C158" s="1">
        <v>41124</v>
      </c>
      <c r="D158">
        <v>1</v>
      </c>
      <c r="F158" t="s">
        <v>495</v>
      </c>
      <c r="G158" t="s">
        <v>496</v>
      </c>
      <c r="H158" t="s">
        <v>18</v>
      </c>
      <c r="I158" t="s">
        <v>497</v>
      </c>
      <c r="J158" t="str">
        <f>"9780132052597"</f>
        <v>9780132052597</v>
      </c>
      <c r="K158" t="str">
        <f>"9780273731344"</f>
        <v>9780273731344</v>
      </c>
      <c r="L158" t="s">
        <v>25</v>
      </c>
      <c r="M158" t="s">
        <v>112</v>
      </c>
    </row>
    <row r="159" spans="1:13" x14ac:dyDescent="0.15">
      <c r="A159">
        <v>5136811</v>
      </c>
      <c r="B159" t="s">
        <v>498</v>
      </c>
      <c r="C159" s="1">
        <v>41339</v>
      </c>
      <c r="D159">
        <v>13</v>
      </c>
      <c r="F159" t="s">
        <v>499</v>
      </c>
      <c r="H159" t="s">
        <v>18</v>
      </c>
      <c r="I159" t="s">
        <v>500</v>
      </c>
      <c r="J159" t="str">
        <f>"9780273754282"</f>
        <v>9780273754282</v>
      </c>
      <c r="K159" t="str">
        <f>"9781447930334"</f>
        <v>9781447930334</v>
      </c>
      <c r="L159" t="s">
        <v>25</v>
      </c>
      <c r="M159" t="s">
        <v>298</v>
      </c>
    </row>
    <row r="160" spans="1:13" x14ac:dyDescent="0.15">
      <c r="A160">
        <v>5136813</v>
      </c>
      <c r="B160" t="s">
        <v>501</v>
      </c>
      <c r="C160" s="1">
        <v>41579</v>
      </c>
      <c r="D160">
        <v>7</v>
      </c>
      <c r="F160" t="s">
        <v>502</v>
      </c>
      <c r="H160" t="s">
        <v>18</v>
      </c>
      <c r="I160" t="s">
        <v>503</v>
      </c>
      <c r="J160" t="str">
        <f>"9781292022208"</f>
        <v>9781292022208</v>
      </c>
      <c r="K160" t="str">
        <f>"9781292035406"</f>
        <v>9781292035406</v>
      </c>
      <c r="L160" t="s">
        <v>25</v>
      </c>
      <c r="M160" t="s">
        <v>15</v>
      </c>
    </row>
    <row r="161" spans="1:13" x14ac:dyDescent="0.15">
      <c r="A161">
        <v>5136814</v>
      </c>
      <c r="B161" t="s">
        <v>504</v>
      </c>
      <c r="C161" s="1">
        <v>40157</v>
      </c>
      <c r="D161">
        <v>2</v>
      </c>
      <c r="F161" t="s">
        <v>505</v>
      </c>
      <c r="G161" t="s">
        <v>65</v>
      </c>
      <c r="H161" t="s">
        <v>18</v>
      </c>
      <c r="I161" t="s">
        <v>506</v>
      </c>
      <c r="J161" t="str">
        <f>"9781292027982"</f>
        <v>9781292027982</v>
      </c>
      <c r="K161" t="str">
        <f>"9781292053318"</f>
        <v>9781292053318</v>
      </c>
      <c r="L161" t="s">
        <v>25</v>
      </c>
      <c r="M161" t="s">
        <v>15</v>
      </c>
    </row>
    <row r="162" spans="1:13" x14ac:dyDescent="0.15">
      <c r="A162">
        <v>5136815</v>
      </c>
      <c r="B162" t="s">
        <v>507</v>
      </c>
      <c r="C162" s="1">
        <v>41513</v>
      </c>
      <c r="D162">
        <v>6</v>
      </c>
      <c r="F162" t="s">
        <v>508</v>
      </c>
      <c r="H162" t="s">
        <v>18</v>
      </c>
      <c r="I162" t="s">
        <v>509</v>
      </c>
      <c r="J162" t="str">
        <f>"9781292020501"</f>
        <v>9781292020501</v>
      </c>
      <c r="K162" t="str">
        <f>"9781292033792"</f>
        <v>9781292033792</v>
      </c>
      <c r="L162" t="s">
        <v>25</v>
      </c>
      <c r="M162" t="s">
        <v>15</v>
      </c>
    </row>
    <row r="163" spans="1:13" x14ac:dyDescent="0.15">
      <c r="A163">
        <v>5136817</v>
      </c>
      <c r="B163" t="s">
        <v>510</v>
      </c>
      <c r="C163" s="1">
        <v>41436</v>
      </c>
      <c r="D163">
        <v>2</v>
      </c>
      <c r="F163" t="s">
        <v>511</v>
      </c>
      <c r="G163" t="s">
        <v>117</v>
      </c>
      <c r="H163" t="s">
        <v>18</v>
      </c>
      <c r="I163" t="s">
        <v>512</v>
      </c>
      <c r="J163" t="str">
        <f>"9780273784180"</f>
        <v>9780273784180</v>
      </c>
      <c r="K163" t="str">
        <f>"9780273784210"</f>
        <v>9780273784210</v>
      </c>
      <c r="L163" t="s">
        <v>25</v>
      </c>
      <c r="M163" t="s">
        <v>15</v>
      </c>
    </row>
    <row r="164" spans="1:13" x14ac:dyDescent="0.15">
      <c r="A164">
        <v>5136820</v>
      </c>
      <c r="B164" t="s">
        <v>513</v>
      </c>
      <c r="C164" s="1">
        <v>41436</v>
      </c>
      <c r="D164">
        <v>2</v>
      </c>
      <c r="F164" t="s">
        <v>514</v>
      </c>
      <c r="G164" t="s">
        <v>117</v>
      </c>
      <c r="H164" t="s">
        <v>18</v>
      </c>
      <c r="I164" t="s">
        <v>515</v>
      </c>
      <c r="J164" t="str">
        <f>"9780273783671"</f>
        <v>9780273783671</v>
      </c>
      <c r="K164" t="str">
        <f>"9780273783701"</f>
        <v>9780273783701</v>
      </c>
      <c r="L164" t="s">
        <v>25</v>
      </c>
      <c r="M164" t="s">
        <v>15</v>
      </c>
    </row>
    <row r="165" spans="1:13" x14ac:dyDescent="0.15">
      <c r="A165">
        <v>5136823</v>
      </c>
      <c r="B165" t="s">
        <v>516</v>
      </c>
      <c r="C165" s="1">
        <v>41550</v>
      </c>
      <c r="D165">
        <v>5</v>
      </c>
      <c r="F165" t="s">
        <v>517</v>
      </c>
      <c r="H165" t="s">
        <v>18</v>
      </c>
      <c r="I165" t="s">
        <v>518</v>
      </c>
      <c r="J165" t="str">
        <f>"9781292042176"</f>
        <v>9781292042176</v>
      </c>
      <c r="K165" t="str">
        <f>"9781292053493"</f>
        <v>9781292053493</v>
      </c>
      <c r="L165" t="s">
        <v>25</v>
      </c>
      <c r="M165" t="s">
        <v>15</v>
      </c>
    </row>
    <row r="166" spans="1:13" x14ac:dyDescent="0.15">
      <c r="A166">
        <v>5136827</v>
      </c>
      <c r="B166" t="s">
        <v>519</v>
      </c>
      <c r="C166" s="1">
        <v>41459</v>
      </c>
      <c r="D166">
        <v>6</v>
      </c>
      <c r="F166" t="s">
        <v>163</v>
      </c>
      <c r="G166" t="s">
        <v>117</v>
      </c>
      <c r="H166" t="s">
        <v>18</v>
      </c>
      <c r="I166" t="s">
        <v>520</v>
      </c>
      <c r="J166" t="str">
        <f>"9781447923145"</f>
        <v>9781447923145</v>
      </c>
      <c r="K166" t="str">
        <f>"9781447924050"</f>
        <v>9781447924050</v>
      </c>
      <c r="L166" t="s">
        <v>25</v>
      </c>
      <c r="M166" t="s">
        <v>15</v>
      </c>
    </row>
    <row r="167" spans="1:13" x14ac:dyDescent="0.15">
      <c r="A167">
        <v>5136828</v>
      </c>
      <c r="B167" t="s">
        <v>521</v>
      </c>
      <c r="C167" s="1">
        <v>41513</v>
      </c>
      <c r="D167">
        <v>11</v>
      </c>
      <c r="F167" t="s">
        <v>522</v>
      </c>
      <c r="H167" t="s">
        <v>18</v>
      </c>
      <c r="I167" t="s">
        <v>523</v>
      </c>
      <c r="J167" t="str">
        <f>"9781292020983"</f>
        <v>9781292020983</v>
      </c>
      <c r="K167" t="str">
        <f>"9781292034232"</f>
        <v>9781292034232</v>
      </c>
      <c r="L167" t="s">
        <v>25</v>
      </c>
      <c r="M167" t="s">
        <v>15</v>
      </c>
    </row>
    <row r="168" spans="1:13" x14ac:dyDescent="0.15">
      <c r="A168">
        <v>5136829</v>
      </c>
      <c r="B168" t="s">
        <v>524</v>
      </c>
      <c r="C168" s="1">
        <v>41550</v>
      </c>
      <c r="D168">
        <v>11</v>
      </c>
      <c r="F168" t="s">
        <v>522</v>
      </c>
      <c r="H168" t="s">
        <v>18</v>
      </c>
      <c r="I168" t="s">
        <v>525</v>
      </c>
      <c r="J168" t="str">
        <f>"9781292040486"</f>
        <v>9781292040486</v>
      </c>
      <c r="K168" t="str">
        <f>"9781292053592"</f>
        <v>9781292053592</v>
      </c>
      <c r="L168" t="s">
        <v>25</v>
      </c>
      <c r="M168" t="s">
        <v>15</v>
      </c>
    </row>
    <row r="169" spans="1:13" x14ac:dyDescent="0.15">
      <c r="A169">
        <v>5136833</v>
      </c>
      <c r="B169" t="s">
        <v>526</v>
      </c>
      <c r="C169" s="1">
        <v>41513</v>
      </c>
      <c r="D169">
        <v>13</v>
      </c>
      <c r="F169" t="s">
        <v>527</v>
      </c>
      <c r="H169" t="s">
        <v>18</v>
      </c>
      <c r="I169" t="s">
        <v>528</v>
      </c>
      <c r="J169" t="str">
        <f>"9781292021218"</f>
        <v>9781292021218</v>
      </c>
      <c r="K169" t="str">
        <f>"9781292034447"</f>
        <v>9781292034447</v>
      </c>
      <c r="L169" t="s">
        <v>25</v>
      </c>
      <c r="M169" t="s">
        <v>15</v>
      </c>
    </row>
    <row r="170" spans="1:13" x14ac:dyDescent="0.15">
      <c r="A170">
        <v>5136835</v>
      </c>
      <c r="B170" t="s">
        <v>529</v>
      </c>
      <c r="C170" s="1">
        <v>41584</v>
      </c>
      <c r="D170">
        <v>11</v>
      </c>
      <c r="F170" t="s">
        <v>530</v>
      </c>
      <c r="H170" t="s">
        <v>18</v>
      </c>
      <c r="I170" t="s">
        <v>531</v>
      </c>
      <c r="J170" t="str">
        <f>""</f>
        <v/>
      </c>
      <c r="K170" t="str">
        <f>"9780273780038"</f>
        <v>9780273780038</v>
      </c>
      <c r="L170" t="s">
        <v>25</v>
      </c>
      <c r="M170" t="s">
        <v>15</v>
      </c>
    </row>
    <row r="171" spans="1:13" x14ac:dyDescent="0.15">
      <c r="A171">
        <v>5136836</v>
      </c>
      <c r="B171" t="s">
        <v>532</v>
      </c>
      <c r="C171" s="1">
        <v>40630</v>
      </c>
      <c r="D171">
        <v>6</v>
      </c>
      <c r="F171" t="s">
        <v>533</v>
      </c>
      <c r="G171" t="s">
        <v>304</v>
      </c>
      <c r="H171" t="s">
        <v>18</v>
      </c>
      <c r="I171" t="s">
        <v>534</v>
      </c>
      <c r="J171" t="str">
        <f>"9780273725961"</f>
        <v>9780273725961</v>
      </c>
      <c r="K171" t="str">
        <f>"9780273726012"</f>
        <v>9780273726012</v>
      </c>
      <c r="L171" t="s">
        <v>25</v>
      </c>
      <c r="M171" t="s">
        <v>112</v>
      </c>
    </row>
    <row r="172" spans="1:13" x14ac:dyDescent="0.15">
      <c r="A172">
        <v>5136837</v>
      </c>
      <c r="B172" t="s">
        <v>535</v>
      </c>
      <c r="C172" s="1">
        <v>41515</v>
      </c>
      <c r="D172">
        <v>8</v>
      </c>
      <c r="F172" t="s">
        <v>536</v>
      </c>
      <c r="H172" t="s">
        <v>18</v>
      </c>
      <c r="I172" t="s">
        <v>537</v>
      </c>
      <c r="J172" t="str">
        <f>"9781292024783"</f>
        <v>9781292024783</v>
      </c>
      <c r="K172" t="str">
        <f>"9781292037455"</f>
        <v>9781292037455</v>
      </c>
      <c r="L172" t="s">
        <v>25</v>
      </c>
      <c r="M172" t="s">
        <v>15</v>
      </c>
    </row>
    <row r="173" spans="1:13" x14ac:dyDescent="0.15">
      <c r="A173">
        <v>5136839</v>
      </c>
      <c r="B173" t="s">
        <v>538</v>
      </c>
      <c r="C173" s="1">
        <v>41523</v>
      </c>
      <c r="D173">
        <v>6</v>
      </c>
      <c r="F173" t="s">
        <v>539</v>
      </c>
      <c r="G173" t="s">
        <v>36</v>
      </c>
      <c r="H173" t="s">
        <v>18</v>
      </c>
      <c r="I173" t="s">
        <v>540</v>
      </c>
      <c r="J173" t="str">
        <f>"9780273773160"</f>
        <v>9780273773160</v>
      </c>
      <c r="K173" t="str">
        <f>"9780273773191"</f>
        <v>9780273773191</v>
      </c>
      <c r="L173" t="s">
        <v>25</v>
      </c>
      <c r="M173" t="s">
        <v>15</v>
      </c>
    </row>
    <row r="174" spans="1:13" x14ac:dyDescent="0.15">
      <c r="A174">
        <v>5136840</v>
      </c>
      <c r="B174" t="s">
        <v>541</v>
      </c>
      <c r="C174" s="1">
        <v>41194</v>
      </c>
      <c r="D174">
        <v>9</v>
      </c>
      <c r="F174" t="s">
        <v>542</v>
      </c>
      <c r="G174" t="s">
        <v>543</v>
      </c>
      <c r="H174" t="s">
        <v>18</v>
      </c>
      <c r="I174" t="s">
        <v>544</v>
      </c>
      <c r="J174" t="str">
        <f>"9780273755142"</f>
        <v>9780273755142</v>
      </c>
      <c r="K174" t="str">
        <f>"9780273755159"</f>
        <v>9780273755159</v>
      </c>
      <c r="L174" t="s">
        <v>25</v>
      </c>
      <c r="M174" t="s">
        <v>15</v>
      </c>
    </row>
    <row r="175" spans="1:13" x14ac:dyDescent="0.15">
      <c r="A175">
        <v>5136845</v>
      </c>
      <c r="B175" t="s">
        <v>545</v>
      </c>
      <c r="C175" s="1">
        <v>41339</v>
      </c>
      <c r="D175">
        <v>4</v>
      </c>
      <c r="F175" t="s">
        <v>546</v>
      </c>
      <c r="G175" t="s">
        <v>547</v>
      </c>
      <c r="H175" t="s">
        <v>18</v>
      </c>
      <c r="I175" t="s">
        <v>548</v>
      </c>
      <c r="J175" t="str">
        <f>"9780273736219"</f>
        <v>9780273736219</v>
      </c>
      <c r="K175" t="str">
        <f>"9780273736226"</f>
        <v>9780273736226</v>
      </c>
      <c r="L175" t="s">
        <v>25</v>
      </c>
      <c r="M175" t="s">
        <v>15</v>
      </c>
    </row>
    <row r="176" spans="1:13" x14ac:dyDescent="0.15">
      <c r="A176">
        <v>5136846</v>
      </c>
      <c r="B176" t="s">
        <v>549</v>
      </c>
      <c r="C176" s="1">
        <v>40630</v>
      </c>
      <c r="D176">
        <v>5</v>
      </c>
      <c r="F176" t="s">
        <v>174</v>
      </c>
      <c r="G176" t="s">
        <v>65</v>
      </c>
      <c r="H176" t="s">
        <v>18</v>
      </c>
      <c r="I176" t="s">
        <v>550</v>
      </c>
      <c r="J176" t="str">
        <f>"9780273734307"</f>
        <v>9780273734307</v>
      </c>
      <c r="K176" t="str">
        <f>"9780273734314"</f>
        <v>9780273734314</v>
      </c>
      <c r="L176" t="s">
        <v>25</v>
      </c>
      <c r="M176" t="s">
        <v>112</v>
      </c>
    </row>
    <row r="177" spans="1:13" x14ac:dyDescent="0.15">
      <c r="A177">
        <v>5136851</v>
      </c>
      <c r="B177" t="s">
        <v>551</v>
      </c>
      <c r="C177" s="1">
        <v>40961</v>
      </c>
      <c r="D177">
        <v>11</v>
      </c>
      <c r="F177" t="s">
        <v>552</v>
      </c>
      <c r="G177" t="s">
        <v>221</v>
      </c>
      <c r="H177" t="s">
        <v>18</v>
      </c>
      <c r="I177" t="s">
        <v>553</v>
      </c>
      <c r="J177" t="str">
        <f>"9780273755104"</f>
        <v>9780273755104</v>
      </c>
      <c r="K177" t="str">
        <f>"9780273755111"</f>
        <v>9780273755111</v>
      </c>
      <c r="L177" t="s">
        <v>25</v>
      </c>
      <c r="M177" t="s">
        <v>15</v>
      </c>
    </row>
    <row r="178" spans="1:13" x14ac:dyDescent="0.15">
      <c r="A178">
        <v>5136860</v>
      </c>
      <c r="B178" t="s">
        <v>554</v>
      </c>
      <c r="C178" s="1">
        <v>40807</v>
      </c>
      <c r="D178">
        <v>4</v>
      </c>
      <c r="F178" t="s">
        <v>555</v>
      </c>
      <c r="H178" t="s">
        <v>18</v>
      </c>
      <c r="I178" t="s">
        <v>556</v>
      </c>
      <c r="J178" t="str">
        <f>"9780273734093"</f>
        <v>9780273734093</v>
      </c>
      <c r="K178" t="str">
        <f>"9780273742517"</f>
        <v>9780273742517</v>
      </c>
      <c r="L178" t="s">
        <v>25</v>
      </c>
      <c r="M178" t="s">
        <v>112</v>
      </c>
    </row>
    <row r="179" spans="1:13" x14ac:dyDescent="0.15">
      <c r="A179">
        <v>5136861</v>
      </c>
      <c r="B179" t="s">
        <v>557</v>
      </c>
      <c r="C179" s="1">
        <v>40630</v>
      </c>
      <c r="D179">
        <v>3</v>
      </c>
      <c r="F179" t="s">
        <v>558</v>
      </c>
      <c r="H179" t="s">
        <v>18</v>
      </c>
      <c r="I179" t="s">
        <v>559</v>
      </c>
      <c r="J179" t="str">
        <f>""</f>
        <v/>
      </c>
      <c r="K179" t="str">
        <f>"9780273743958"</f>
        <v>9780273743958</v>
      </c>
      <c r="L179" t="s">
        <v>25</v>
      </c>
      <c r="M179" t="s">
        <v>112</v>
      </c>
    </row>
    <row r="180" spans="1:13" x14ac:dyDescent="0.15">
      <c r="A180">
        <v>5136863</v>
      </c>
      <c r="B180" t="s">
        <v>560</v>
      </c>
      <c r="C180" s="1">
        <v>41436</v>
      </c>
      <c r="D180">
        <v>11</v>
      </c>
      <c r="F180" t="s">
        <v>561</v>
      </c>
      <c r="H180" t="s">
        <v>18</v>
      </c>
      <c r="I180" t="s">
        <v>562</v>
      </c>
      <c r="J180" t="str">
        <f>"9781447923329"</f>
        <v>9781447923329</v>
      </c>
      <c r="K180" t="str">
        <f>"9781447923336"</f>
        <v>9781447923336</v>
      </c>
      <c r="L180" t="s">
        <v>25</v>
      </c>
      <c r="M180" t="s">
        <v>15</v>
      </c>
    </row>
    <row r="181" spans="1:13" x14ac:dyDescent="0.15">
      <c r="A181">
        <v>5136864</v>
      </c>
      <c r="B181" t="s">
        <v>563</v>
      </c>
      <c r="C181" s="1">
        <v>41128</v>
      </c>
      <c r="D181">
        <v>9</v>
      </c>
      <c r="F181" t="s">
        <v>564</v>
      </c>
      <c r="G181" t="s">
        <v>36</v>
      </c>
      <c r="H181" t="s">
        <v>18</v>
      </c>
      <c r="I181" t="s">
        <v>565</v>
      </c>
      <c r="J181" t="str">
        <f>"9780273762652"</f>
        <v>9780273762652</v>
      </c>
      <c r="K181" t="str">
        <f>"9780273762676"</f>
        <v>9780273762676</v>
      </c>
      <c r="L181" t="s">
        <v>25</v>
      </c>
      <c r="M181" t="s">
        <v>15</v>
      </c>
    </row>
    <row r="182" spans="1:13" x14ac:dyDescent="0.15">
      <c r="A182">
        <v>5136868</v>
      </c>
      <c r="B182" t="s">
        <v>566</v>
      </c>
      <c r="C182" s="1">
        <v>41514</v>
      </c>
      <c r="D182">
        <v>6</v>
      </c>
      <c r="F182" t="s">
        <v>567</v>
      </c>
      <c r="H182" t="s">
        <v>18</v>
      </c>
      <c r="I182" t="s">
        <v>568</v>
      </c>
      <c r="J182" t="str">
        <f>"9781292022963"</f>
        <v>9781292022963</v>
      </c>
      <c r="K182" t="str">
        <f>"9781292036144"</f>
        <v>9781292036144</v>
      </c>
      <c r="L182" t="s">
        <v>25</v>
      </c>
      <c r="M182" t="s">
        <v>15</v>
      </c>
    </row>
    <row r="183" spans="1:13" x14ac:dyDescent="0.15">
      <c r="A183">
        <v>5136869</v>
      </c>
      <c r="B183" t="s">
        <v>569</v>
      </c>
      <c r="C183" s="1">
        <v>41550</v>
      </c>
      <c r="D183">
        <v>11</v>
      </c>
      <c r="F183" t="s">
        <v>570</v>
      </c>
      <c r="H183" t="s">
        <v>18</v>
      </c>
      <c r="I183" t="s">
        <v>571</v>
      </c>
      <c r="J183" t="str">
        <f>"9781292042602"</f>
        <v>9781292042602</v>
      </c>
      <c r="K183" t="str">
        <f>"9781292053776"</f>
        <v>9781292053776</v>
      </c>
      <c r="L183" t="s">
        <v>25</v>
      </c>
      <c r="M183" t="s">
        <v>15</v>
      </c>
    </row>
    <row r="184" spans="1:13" x14ac:dyDescent="0.15">
      <c r="A184">
        <v>5136872</v>
      </c>
      <c r="B184" t="s">
        <v>572</v>
      </c>
      <c r="C184" s="1">
        <v>41584</v>
      </c>
      <c r="D184">
        <v>13</v>
      </c>
      <c r="F184" t="s">
        <v>573</v>
      </c>
      <c r="H184" t="s">
        <v>18</v>
      </c>
      <c r="I184" t="s">
        <v>574</v>
      </c>
      <c r="J184" t="str">
        <f>""</f>
        <v/>
      </c>
      <c r="K184" t="str">
        <f>"9780273775690"</f>
        <v>9780273775690</v>
      </c>
      <c r="L184" t="s">
        <v>25</v>
      </c>
      <c r="M184" t="s">
        <v>15</v>
      </c>
    </row>
    <row r="185" spans="1:13" x14ac:dyDescent="0.15">
      <c r="A185">
        <v>5136873</v>
      </c>
      <c r="B185" t="s">
        <v>575</v>
      </c>
      <c r="C185" s="1">
        <v>41515</v>
      </c>
      <c r="D185">
        <v>10</v>
      </c>
      <c r="F185" t="s">
        <v>576</v>
      </c>
      <c r="H185" t="s">
        <v>18</v>
      </c>
      <c r="I185" t="s">
        <v>577</v>
      </c>
      <c r="J185" t="str">
        <f>"9781292026343"</f>
        <v>9781292026343</v>
      </c>
      <c r="K185" t="str">
        <f>"9781292038735"</f>
        <v>9781292038735</v>
      </c>
      <c r="L185" t="s">
        <v>25</v>
      </c>
      <c r="M185" t="s">
        <v>15</v>
      </c>
    </row>
    <row r="186" spans="1:13" x14ac:dyDescent="0.15">
      <c r="A186">
        <v>5136875</v>
      </c>
      <c r="B186" t="s">
        <v>578</v>
      </c>
      <c r="C186" s="1">
        <v>41514</v>
      </c>
      <c r="D186">
        <v>2</v>
      </c>
      <c r="F186" t="s">
        <v>579</v>
      </c>
      <c r="H186" t="s">
        <v>18</v>
      </c>
      <c r="I186" t="s">
        <v>580</v>
      </c>
      <c r="J186" t="str">
        <f>"9781292022420"</f>
        <v>9781292022420</v>
      </c>
      <c r="K186" t="str">
        <f>"9781292035628"</f>
        <v>9781292035628</v>
      </c>
      <c r="L186" t="s">
        <v>25</v>
      </c>
      <c r="M186" t="s">
        <v>15</v>
      </c>
    </row>
    <row r="187" spans="1:13" x14ac:dyDescent="0.15">
      <c r="A187">
        <v>5136876</v>
      </c>
      <c r="B187" t="s">
        <v>581</v>
      </c>
      <c r="C187" s="1">
        <v>41513</v>
      </c>
      <c r="D187">
        <v>6</v>
      </c>
      <c r="F187" t="s">
        <v>582</v>
      </c>
      <c r="H187" t="s">
        <v>18</v>
      </c>
      <c r="I187" t="s">
        <v>583</v>
      </c>
      <c r="J187" t="str">
        <f>"9781292020877"</f>
        <v>9781292020877</v>
      </c>
      <c r="K187" t="str">
        <f>"9781292034126"</f>
        <v>9781292034126</v>
      </c>
      <c r="L187" t="s">
        <v>25</v>
      </c>
      <c r="M187" t="s">
        <v>15</v>
      </c>
    </row>
    <row r="188" spans="1:13" x14ac:dyDescent="0.15">
      <c r="A188">
        <v>5136879</v>
      </c>
      <c r="B188" t="s">
        <v>584</v>
      </c>
      <c r="C188" s="1">
        <v>41353</v>
      </c>
      <c r="D188">
        <v>10</v>
      </c>
      <c r="F188" t="s">
        <v>585</v>
      </c>
      <c r="H188" t="s">
        <v>18</v>
      </c>
      <c r="I188" t="s">
        <v>586</v>
      </c>
      <c r="J188" t="str">
        <f>""</f>
        <v/>
      </c>
      <c r="K188" t="str">
        <f>"9780273766841"</f>
        <v>9780273766841</v>
      </c>
      <c r="L188" t="s">
        <v>25</v>
      </c>
      <c r="M188" t="s">
        <v>298</v>
      </c>
    </row>
    <row r="189" spans="1:13" x14ac:dyDescent="0.15">
      <c r="A189">
        <v>5136881</v>
      </c>
      <c r="B189" t="s">
        <v>587</v>
      </c>
      <c r="C189" s="1">
        <v>41550</v>
      </c>
      <c r="D189">
        <v>4</v>
      </c>
      <c r="F189" t="s">
        <v>588</v>
      </c>
      <c r="H189" t="s">
        <v>18</v>
      </c>
      <c r="I189" t="s">
        <v>589</v>
      </c>
      <c r="J189" t="str">
        <f>"9781292039756"</f>
        <v>9781292039756</v>
      </c>
      <c r="K189" t="str">
        <f>"9781292054018"</f>
        <v>9781292054018</v>
      </c>
      <c r="L189" t="s">
        <v>25</v>
      </c>
      <c r="M189" t="s">
        <v>15</v>
      </c>
    </row>
    <row r="190" spans="1:13" x14ac:dyDescent="0.15">
      <c r="A190">
        <v>5136885</v>
      </c>
      <c r="B190" t="s">
        <v>590</v>
      </c>
      <c r="C190" s="1">
        <v>41550</v>
      </c>
      <c r="D190">
        <v>6</v>
      </c>
      <c r="F190" t="s">
        <v>591</v>
      </c>
      <c r="H190" t="s">
        <v>18</v>
      </c>
      <c r="I190" t="s">
        <v>592</v>
      </c>
      <c r="J190" t="str">
        <f>"9781292040592"</f>
        <v>9781292040592</v>
      </c>
      <c r="K190" t="str">
        <f>"9781292054032"</f>
        <v>9781292054032</v>
      </c>
      <c r="L190" t="s">
        <v>25</v>
      </c>
      <c r="M190" t="s">
        <v>15</v>
      </c>
    </row>
    <row r="191" spans="1:13" x14ac:dyDescent="0.15">
      <c r="A191">
        <v>5136888</v>
      </c>
      <c r="B191" t="s">
        <v>593</v>
      </c>
      <c r="C191" s="1">
        <v>40619</v>
      </c>
      <c r="D191">
        <v>15</v>
      </c>
      <c r="F191" t="s">
        <v>595</v>
      </c>
      <c r="G191" t="s">
        <v>596</v>
      </c>
      <c r="H191" t="s">
        <v>18</v>
      </c>
      <c r="I191" t="s">
        <v>597</v>
      </c>
      <c r="J191" t="str">
        <f>"9781408234303"</f>
        <v>9781408234303</v>
      </c>
      <c r="K191" t="str">
        <f>"9781408234310"</f>
        <v>9781408234310</v>
      </c>
      <c r="L191" t="s">
        <v>25</v>
      </c>
      <c r="M191" t="s">
        <v>594</v>
      </c>
    </row>
    <row r="192" spans="1:13" x14ac:dyDescent="0.15">
      <c r="A192">
        <v>5136889</v>
      </c>
      <c r="B192" t="s">
        <v>598</v>
      </c>
      <c r="C192" s="1">
        <v>41550</v>
      </c>
      <c r="D192">
        <v>7</v>
      </c>
      <c r="F192" t="s">
        <v>599</v>
      </c>
      <c r="H192" t="s">
        <v>18</v>
      </c>
      <c r="I192" t="s">
        <v>600</v>
      </c>
      <c r="J192" t="str">
        <f>"9781292027975"</f>
        <v>9781292027975</v>
      </c>
      <c r="K192" t="str">
        <f>"9781292054100"</f>
        <v>9781292054100</v>
      </c>
      <c r="L192" t="s">
        <v>25</v>
      </c>
      <c r="M192" t="s">
        <v>15</v>
      </c>
    </row>
    <row r="193" spans="1:13" x14ac:dyDescent="0.15">
      <c r="A193">
        <v>5136892</v>
      </c>
      <c r="B193" t="s">
        <v>601</v>
      </c>
      <c r="C193" s="1">
        <v>41515</v>
      </c>
      <c r="D193">
        <v>8</v>
      </c>
      <c r="F193" t="s">
        <v>602</v>
      </c>
      <c r="H193" t="s">
        <v>18</v>
      </c>
      <c r="I193" t="s">
        <v>603</v>
      </c>
      <c r="J193" t="str">
        <f>"9781292025148"</f>
        <v>9781292025148</v>
      </c>
      <c r="K193" t="str">
        <f>"9781292037738"</f>
        <v>9781292037738</v>
      </c>
      <c r="L193" t="s">
        <v>25</v>
      </c>
      <c r="M193" t="s">
        <v>15</v>
      </c>
    </row>
    <row r="194" spans="1:13" x14ac:dyDescent="0.15">
      <c r="A194">
        <v>5136893</v>
      </c>
      <c r="B194" t="s">
        <v>604</v>
      </c>
      <c r="C194" s="1">
        <v>41550</v>
      </c>
      <c r="D194">
        <v>14</v>
      </c>
      <c r="F194" t="s">
        <v>605</v>
      </c>
      <c r="H194" t="s">
        <v>18</v>
      </c>
      <c r="I194" t="s">
        <v>606</v>
      </c>
      <c r="J194" t="str">
        <f>"9781292027494"</f>
        <v>9781292027494</v>
      </c>
      <c r="K194" t="str">
        <f>"9781292054117"</f>
        <v>9781292054117</v>
      </c>
      <c r="L194" t="s">
        <v>25</v>
      </c>
      <c r="M194" t="s">
        <v>15</v>
      </c>
    </row>
    <row r="195" spans="1:13" x14ac:dyDescent="0.15">
      <c r="A195">
        <v>5136895</v>
      </c>
      <c r="B195" t="s">
        <v>607</v>
      </c>
      <c r="C195" s="1">
        <v>41513</v>
      </c>
      <c r="D195">
        <v>10</v>
      </c>
      <c r="F195" t="s">
        <v>608</v>
      </c>
      <c r="H195" t="s">
        <v>18</v>
      </c>
      <c r="I195" t="s">
        <v>609</v>
      </c>
      <c r="J195" t="str">
        <f>"9781292022062"</f>
        <v>9781292022062</v>
      </c>
      <c r="K195" t="str">
        <f>"9781292035277"</f>
        <v>9781292035277</v>
      </c>
      <c r="L195" t="s">
        <v>25</v>
      </c>
      <c r="M195" t="s">
        <v>15</v>
      </c>
    </row>
    <row r="196" spans="1:13" x14ac:dyDescent="0.15">
      <c r="A196">
        <v>5136896</v>
      </c>
      <c r="B196" t="s">
        <v>610</v>
      </c>
      <c r="C196" s="1">
        <v>41515</v>
      </c>
      <c r="D196">
        <v>10</v>
      </c>
      <c r="F196" t="s">
        <v>608</v>
      </c>
      <c r="H196" t="s">
        <v>18</v>
      </c>
      <c r="I196" t="s">
        <v>611</v>
      </c>
      <c r="J196" t="str">
        <f>"9781292023847"</f>
        <v>9781292023847</v>
      </c>
      <c r="K196" t="str">
        <f>"9781292036977"</f>
        <v>9781292036977</v>
      </c>
      <c r="L196" t="s">
        <v>25</v>
      </c>
      <c r="M196" t="s">
        <v>15</v>
      </c>
    </row>
    <row r="197" spans="1:13" x14ac:dyDescent="0.15">
      <c r="A197">
        <v>5136900</v>
      </c>
      <c r="B197" t="s">
        <v>381</v>
      </c>
      <c r="C197" s="1">
        <v>41513</v>
      </c>
      <c r="D197">
        <v>2</v>
      </c>
      <c r="F197" t="s">
        <v>612</v>
      </c>
      <c r="H197" t="s">
        <v>18</v>
      </c>
      <c r="I197" t="s">
        <v>613</v>
      </c>
      <c r="J197" t="str">
        <f>"9781292021362"</f>
        <v>9781292021362</v>
      </c>
      <c r="K197" t="str">
        <f>"9781292034591"</f>
        <v>9781292034591</v>
      </c>
      <c r="L197" t="s">
        <v>25</v>
      </c>
      <c r="M197" t="s">
        <v>15</v>
      </c>
    </row>
    <row r="198" spans="1:13" x14ac:dyDescent="0.15">
      <c r="A198">
        <v>5136902</v>
      </c>
      <c r="B198" t="s">
        <v>614</v>
      </c>
      <c r="C198" s="1">
        <v>41515</v>
      </c>
      <c r="D198">
        <v>6</v>
      </c>
      <c r="F198" t="s">
        <v>615</v>
      </c>
      <c r="H198" t="s">
        <v>18</v>
      </c>
      <c r="I198" t="s">
        <v>616</v>
      </c>
      <c r="J198" t="str">
        <f>"9781292024738"</f>
        <v>9781292024738</v>
      </c>
      <c r="K198" t="str">
        <f>"9781292037417"</f>
        <v>9781292037417</v>
      </c>
      <c r="L198" t="s">
        <v>25</v>
      </c>
      <c r="M198" t="s">
        <v>15</v>
      </c>
    </row>
    <row r="199" spans="1:13" x14ac:dyDescent="0.15">
      <c r="A199">
        <v>5136904</v>
      </c>
      <c r="B199" t="s">
        <v>617</v>
      </c>
      <c r="C199" s="1">
        <v>41514</v>
      </c>
      <c r="D199">
        <v>11</v>
      </c>
      <c r="F199" t="s">
        <v>618</v>
      </c>
      <c r="H199" t="s">
        <v>18</v>
      </c>
      <c r="I199" t="s">
        <v>619</v>
      </c>
      <c r="J199" t="str">
        <f>"9781292022758"</f>
        <v>9781292022758</v>
      </c>
      <c r="K199" t="str">
        <f>"9781292035956"</f>
        <v>9781292035956</v>
      </c>
      <c r="L199" t="s">
        <v>25</v>
      </c>
      <c r="M199" t="s">
        <v>15</v>
      </c>
    </row>
    <row r="200" spans="1:13" x14ac:dyDescent="0.15">
      <c r="A200">
        <v>5136905</v>
      </c>
      <c r="B200" t="s">
        <v>620</v>
      </c>
      <c r="C200" s="1">
        <v>41579</v>
      </c>
      <c r="D200">
        <v>5</v>
      </c>
      <c r="F200" t="s">
        <v>621</v>
      </c>
      <c r="G200" t="s">
        <v>622</v>
      </c>
      <c r="H200" t="s">
        <v>18</v>
      </c>
      <c r="I200" t="s">
        <v>623</v>
      </c>
      <c r="J200" t="str">
        <f>"9781292027715"</f>
        <v>9781292027715</v>
      </c>
      <c r="K200" t="str">
        <f>"9781292054223"</f>
        <v>9781292054223</v>
      </c>
      <c r="L200" t="s">
        <v>25</v>
      </c>
      <c r="M200" t="s">
        <v>15</v>
      </c>
    </row>
    <row r="201" spans="1:13" x14ac:dyDescent="0.15">
      <c r="A201">
        <v>5136906</v>
      </c>
      <c r="B201" t="s">
        <v>624</v>
      </c>
      <c r="C201" s="1">
        <v>40919</v>
      </c>
      <c r="D201">
        <v>1</v>
      </c>
      <c r="F201" t="s">
        <v>625</v>
      </c>
      <c r="H201" t="s">
        <v>18</v>
      </c>
      <c r="I201" t="s">
        <v>626</v>
      </c>
      <c r="J201" t="str">
        <f>"9781408266700"</f>
        <v>9781408266700</v>
      </c>
      <c r="K201" t="str">
        <f>"9781408266724"</f>
        <v>9781408266724</v>
      </c>
      <c r="L201" t="s">
        <v>25</v>
      </c>
      <c r="M201" t="s">
        <v>147</v>
      </c>
    </row>
    <row r="202" spans="1:13" x14ac:dyDescent="0.15">
      <c r="A202">
        <v>5136909</v>
      </c>
      <c r="B202" t="s">
        <v>627</v>
      </c>
      <c r="C202" s="1">
        <v>41513</v>
      </c>
      <c r="D202">
        <v>14</v>
      </c>
      <c r="F202" t="s">
        <v>628</v>
      </c>
      <c r="H202" t="s">
        <v>18</v>
      </c>
      <c r="I202" t="s">
        <v>629</v>
      </c>
      <c r="J202" t="str">
        <f>"9781292020242"</f>
        <v>9781292020242</v>
      </c>
      <c r="K202" t="str">
        <f>"9781292033624"</f>
        <v>9781292033624</v>
      </c>
      <c r="L202" t="s">
        <v>25</v>
      </c>
      <c r="M202" t="s">
        <v>15</v>
      </c>
    </row>
    <row r="203" spans="1:13" x14ac:dyDescent="0.15">
      <c r="A203">
        <v>5136910</v>
      </c>
      <c r="B203" t="s">
        <v>630</v>
      </c>
      <c r="C203" s="1">
        <v>40553</v>
      </c>
      <c r="D203">
        <v>2</v>
      </c>
      <c r="F203" t="s">
        <v>631</v>
      </c>
      <c r="G203" t="s">
        <v>65</v>
      </c>
      <c r="H203" t="s">
        <v>18</v>
      </c>
      <c r="I203" t="s">
        <v>632</v>
      </c>
      <c r="J203" t="str">
        <f>"9780273722908"</f>
        <v>9780273722908</v>
      </c>
      <c r="K203" t="str">
        <f>"9780273722946"</f>
        <v>9780273722946</v>
      </c>
      <c r="L203" t="s">
        <v>25</v>
      </c>
      <c r="M203" t="s">
        <v>112</v>
      </c>
    </row>
    <row r="204" spans="1:13" x14ac:dyDescent="0.15">
      <c r="A204">
        <v>5136912</v>
      </c>
      <c r="B204" t="s">
        <v>633</v>
      </c>
      <c r="C204" s="1">
        <v>41515</v>
      </c>
      <c r="D204">
        <v>9</v>
      </c>
      <c r="F204" t="s">
        <v>634</v>
      </c>
      <c r="H204" t="s">
        <v>18</v>
      </c>
      <c r="I204" t="s">
        <v>635</v>
      </c>
      <c r="J204" t="str">
        <f>"9781292026497"</f>
        <v>9781292026497</v>
      </c>
      <c r="K204" t="str">
        <f>"9781292038889"</f>
        <v>9781292038889</v>
      </c>
      <c r="L204" t="s">
        <v>25</v>
      </c>
      <c r="M204" t="s">
        <v>15</v>
      </c>
    </row>
    <row r="205" spans="1:13" x14ac:dyDescent="0.15">
      <c r="A205">
        <v>5136913</v>
      </c>
      <c r="B205" t="s">
        <v>636</v>
      </c>
      <c r="C205" s="1">
        <v>41513</v>
      </c>
      <c r="D205">
        <v>3</v>
      </c>
      <c r="F205" t="s">
        <v>637</v>
      </c>
      <c r="H205" t="s">
        <v>18</v>
      </c>
      <c r="I205" t="s">
        <v>638</v>
      </c>
      <c r="J205" t="str">
        <f>"9781292020822"</f>
        <v>9781292020822</v>
      </c>
      <c r="K205" t="str">
        <f>"9781292034072"</f>
        <v>9781292034072</v>
      </c>
      <c r="L205" t="s">
        <v>25</v>
      </c>
      <c r="M205" t="s">
        <v>15</v>
      </c>
    </row>
    <row r="206" spans="1:13" x14ac:dyDescent="0.15">
      <c r="A206">
        <v>5136914</v>
      </c>
      <c r="B206" t="s">
        <v>639</v>
      </c>
      <c r="C206" s="1">
        <v>41484</v>
      </c>
      <c r="D206">
        <v>9</v>
      </c>
      <c r="F206" t="s">
        <v>640</v>
      </c>
      <c r="G206" t="s">
        <v>65</v>
      </c>
      <c r="H206" t="s">
        <v>18</v>
      </c>
      <c r="I206" t="s">
        <v>641</v>
      </c>
      <c r="J206" t="str">
        <f>"9781292025292"</f>
        <v>9781292025292</v>
      </c>
      <c r="K206" t="str">
        <f>"9781292037851"</f>
        <v>9781292037851</v>
      </c>
      <c r="L206" t="s">
        <v>25</v>
      </c>
      <c r="M206" t="s">
        <v>15</v>
      </c>
    </row>
    <row r="207" spans="1:13" x14ac:dyDescent="0.15">
      <c r="A207">
        <v>5136916</v>
      </c>
      <c r="B207" t="s">
        <v>642</v>
      </c>
      <c r="C207" s="1">
        <v>41515</v>
      </c>
      <c r="D207">
        <v>9</v>
      </c>
      <c r="F207" t="s">
        <v>643</v>
      </c>
      <c r="H207" t="s">
        <v>18</v>
      </c>
      <c r="I207" t="s">
        <v>644</v>
      </c>
      <c r="J207" t="str">
        <f>"9781292026480"</f>
        <v>9781292026480</v>
      </c>
      <c r="K207" t="str">
        <f>"9781292038872"</f>
        <v>9781292038872</v>
      </c>
      <c r="L207" t="s">
        <v>25</v>
      </c>
      <c r="M207" t="s">
        <v>15</v>
      </c>
    </row>
    <row r="208" spans="1:13" x14ac:dyDescent="0.15">
      <c r="A208">
        <v>5136917</v>
      </c>
      <c r="B208" t="s">
        <v>645</v>
      </c>
      <c r="C208" s="1">
        <v>41515</v>
      </c>
      <c r="D208">
        <v>1</v>
      </c>
      <c r="F208" t="s">
        <v>646</v>
      </c>
      <c r="H208" t="s">
        <v>18</v>
      </c>
      <c r="I208" t="s">
        <v>647</v>
      </c>
      <c r="J208" t="str">
        <f>"9781292026459"</f>
        <v>9781292026459</v>
      </c>
      <c r="K208" t="str">
        <f>"9781292038841"</f>
        <v>9781292038841</v>
      </c>
      <c r="L208" t="s">
        <v>25</v>
      </c>
      <c r="M208" t="s">
        <v>15</v>
      </c>
    </row>
    <row r="209" spans="1:13" x14ac:dyDescent="0.15">
      <c r="A209">
        <v>5136918</v>
      </c>
      <c r="B209" t="s">
        <v>648</v>
      </c>
      <c r="C209" s="1">
        <v>41513</v>
      </c>
      <c r="D209">
        <v>7</v>
      </c>
      <c r="F209" t="s">
        <v>649</v>
      </c>
      <c r="H209" t="s">
        <v>18</v>
      </c>
      <c r="I209" t="s">
        <v>650</v>
      </c>
      <c r="J209" t="str">
        <f>"9781292021607"</f>
        <v>9781292021607</v>
      </c>
      <c r="K209" t="str">
        <f>"9781292034836"</f>
        <v>9781292034836</v>
      </c>
      <c r="L209" t="s">
        <v>25</v>
      </c>
      <c r="M209" t="s">
        <v>15</v>
      </c>
    </row>
    <row r="210" spans="1:13" x14ac:dyDescent="0.15">
      <c r="A210">
        <v>5136919</v>
      </c>
      <c r="B210" t="s">
        <v>651</v>
      </c>
      <c r="C210" s="1">
        <v>41514</v>
      </c>
      <c r="D210">
        <v>7</v>
      </c>
      <c r="F210" t="s">
        <v>652</v>
      </c>
      <c r="H210" t="s">
        <v>18</v>
      </c>
      <c r="I210" t="s">
        <v>653</v>
      </c>
      <c r="J210" t="str">
        <f>"9781292022741"</f>
        <v>9781292022741</v>
      </c>
      <c r="K210" t="str">
        <f>"9781292035949"</f>
        <v>9781292035949</v>
      </c>
      <c r="L210" t="s">
        <v>25</v>
      </c>
      <c r="M210" t="s">
        <v>15</v>
      </c>
    </row>
    <row r="211" spans="1:13" x14ac:dyDescent="0.15">
      <c r="A211">
        <v>5136920</v>
      </c>
      <c r="B211" t="s">
        <v>654</v>
      </c>
      <c r="C211" s="1">
        <v>39045</v>
      </c>
      <c r="D211">
        <v>1</v>
      </c>
      <c r="F211" t="s">
        <v>655</v>
      </c>
      <c r="G211" t="s">
        <v>304</v>
      </c>
      <c r="H211" t="s">
        <v>18</v>
      </c>
      <c r="I211" t="s">
        <v>656</v>
      </c>
      <c r="J211" t="str">
        <f>"9780273687740"</f>
        <v>9780273687740</v>
      </c>
      <c r="K211" t="str">
        <f>"9781408212615"</f>
        <v>9781408212615</v>
      </c>
      <c r="L211" t="s">
        <v>25</v>
      </c>
      <c r="M211" t="s">
        <v>39</v>
      </c>
    </row>
    <row r="212" spans="1:13" x14ac:dyDescent="0.15">
      <c r="A212">
        <v>5136921</v>
      </c>
      <c r="B212" t="s">
        <v>657</v>
      </c>
      <c r="C212" s="1">
        <v>40344</v>
      </c>
      <c r="D212">
        <v>2</v>
      </c>
      <c r="F212" t="s">
        <v>658</v>
      </c>
      <c r="G212" t="s">
        <v>117</v>
      </c>
      <c r="H212" t="s">
        <v>18</v>
      </c>
      <c r="I212" t="s">
        <v>659</v>
      </c>
      <c r="J212" t="str">
        <f>"9781408218808"</f>
        <v>9781408218808</v>
      </c>
      <c r="K212" t="str">
        <f>"9781408218822"</f>
        <v>9781408218822</v>
      </c>
      <c r="L212" t="s">
        <v>25</v>
      </c>
      <c r="M212" t="s">
        <v>147</v>
      </c>
    </row>
    <row r="213" spans="1:13" x14ac:dyDescent="0.15">
      <c r="A213">
        <v>5136924</v>
      </c>
      <c r="B213" t="s">
        <v>660</v>
      </c>
      <c r="C213" s="1">
        <v>41579</v>
      </c>
      <c r="D213">
        <v>2</v>
      </c>
      <c r="F213" t="s">
        <v>661</v>
      </c>
      <c r="G213" t="s">
        <v>408</v>
      </c>
      <c r="H213" t="s">
        <v>18</v>
      </c>
      <c r="I213" t="s">
        <v>662</v>
      </c>
      <c r="J213" t="str">
        <f>"9781292027944"</f>
        <v>9781292027944</v>
      </c>
      <c r="K213" t="str">
        <f>"9781292054391"</f>
        <v>9781292054391</v>
      </c>
      <c r="L213" t="s">
        <v>25</v>
      </c>
      <c r="M213" t="s">
        <v>15</v>
      </c>
    </row>
    <row r="214" spans="1:13" x14ac:dyDescent="0.15">
      <c r="A214">
        <v>5136927</v>
      </c>
      <c r="B214" t="s">
        <v>342</v>
      </c>
      <c r="C214" s="1">
        <v>41515</v>
      </c>
      <c r="D214">
        <v>6</v>
      </c>
      <c r="F214" t="s">
        <v>663</v>
      </c>
      <c r="H214" t="s">
        <v>18</v>
      </c>
      <c r="I214" t="s">
        <v>664</v>
      </c>
      <c r="J214" t="str">
        <f>"9781292025025"</f>
        <v>9781292025025</v>
      </c>
      <c r="K214" t="str">
        <f>"9781292037653"</f>
        <v>9781292037653</v>
      </c>
      <c r="L214" t="s">
        <v>25</v>
      </c>
      <c r="M214" t="s">
        <v>15</v>
      </c>
    </row>
    <row r="215" spans="1:13" x14ac:dyDescent="0.15">
      <c r="A215">
        <v>5136932</v>
      </c>
      <c r="B215" t="s">
        <v>665</v>
      </c>
      <c r="C215" s="1">
        <v>41584</v>
      </c>
      <c r="D215">
        <v>7</v>
      </c>
      <c r="F215" t="s">
        <v>666</v>
      </c>
      <c r="H215" t="s">
        <v>18</v>
      </c>
      <c r="I215" t="s">
        <v>667</v>
      </c>
      <c r="J215" t="str">
        <f>""</f>
        <v/>
      </c>
      <c r="K215" t="str">
        <f>"9781447930358"</f>
        <v>9781447930358</v>
      </c>
      <c r="L215" t="s">
        <v>25</v>
      </c>
      <c r="M215" t="s">
        <v>298</v>
      </c>
    </row>
    <row r="216" spans="1:13" x14ac:dyDescent="0.15">
      <c r="A216">
        <v>5136935</v>
      </c>
      <c r="B216" t="s">
        <v>668</v>
      </c>
      <c r="C216" s="1">
        <v>41407</v>
      </c>
      <c r="D216">
        <v>2</v>
      </c>
      <c r="F216" t="s">
        <v>669</v>
      </c>
      <c r="H216" t="s">
        <v>18</v>
      </c>
      <c r="I216" t="s">
        <v>670</v>
      </c>
      <c r="J216" t="str">
        <f>"9780273783756"</f>
        <v>9780273783756</v>
      </c>
      <c r="K216" t="str">
        <f>"9780273783770"</f>
        <v>9780273783770</v>
      </c>
      <c r="L216" t="s">
        <v>25</v>
      </c>
      <c r="M216" t="s">
        <v>15</v>
      </c>
    </row>
    <row r="217" spans="1:13" x14ac:dyDescent="0.15">
      <c r="A217">
        <v>5136938</v>
      </c>
      <c r="B217" t="s">
        <v>671</v>
      </c>
      <c r="C217" s="1">
        <v>41584</v>
      </c>
      <c r="D217">
        <v>9</v>
      </c>
      <c r="F217" t="s">
        <v>672</v>
      </c>
      <c r="H217" t="s">
        <v>18</v>
      </c>
      <c r="I217" t="s">
        <v>673</v>
      </c>
      <c r="J217" t="str">
        <f>"9780273752929"</f>
        <v>9780273752929</v>
      </c>
      <c r="K217" t="str">
        <f>"9781447930228"</f>
        <v>9781447930228</v>
      </c>
      <c r="L217" t="s">
        <v>25</v>
      </c>
      <c r="M217" t="s">
        <v>298</v>
      </c>
    </row>
    <row r="218" spans="1:13" x14ac:dyDescent="0.15">
      <c r="A218">
        <v>5136939</v>
      </c>
      <c r="B218" t="s">
        <v>674</v>
      </c>
      <c r="C218" s="1">
        <v>41579</v>
      </c>
      <c r="D218">
        <v>12</v>
      </c>
      <c r="F218" t="s">
        <v>675</v>
      </c>
      <c r="H218" t="s">
        <v>18</v>
      </c>
      <c r="I218" t="s">
        <v>676</v>
      </c>
      <c r="J218" t="str">
        <f>"9781292024646"</f>
        <v>9781292024646</v>
      </c>
      <c r="K218" t="str">
        <f>"9781292037332"</f>
        <v>9781292037332</v>
      </c>
      <c r="L218" t="s">
        <v>25</v>
      </c>
      <c r="M218" t="s">
        <v>15</v>
      </c>
    </row>
    <row r="219" spans="1:13" x14ac:dyDescent="0.15">
      <c r="A219">
        <v>5136940</v>
      </c>
      <c r="B219" t="s">
        <v>677</v>
      </c>
      <c r="C219" s="1">
        <v>41039</v>
      </c>
      <c r="D219">
        <v>3</v>
      </c>
      <c r="F219" t="s">
        <v>678</v>
      </c>
      <c r="G219" t="s">
        <v>408</v>
      </c>
      <c r="H219" t="s">
        <v>18</v>
      </c>
      <c r="I219" t="s">
        <v>679</v>
      </c>
      <c r="J219" t="str">
        <f>"9780273735199"</f>
        <v>9780273735199</v>
      </c>
      <c r="K219" t="str">
        <f>"9780273735205"</f>
        <v>9780273735205</v>
      </c>
      <c r="L219" t="s">
        <v>25</v>
      </c>
      <c r="M219" t="s">
        <v>15</v>
      </c>
    </row>
    <row r="220" spans="1:13" x14ac:dyDescent="0.15">
      <c r="A220">
        <v>5136945</v>
      </c>
      <c r="B220" t="s">
        <v>680</v>
      </c>
      <c r="C220" s="1">
        <v>41579</v>
      </c>
      <c r="D220">
        <v>6</v>
      </c>
      <c r="F220" t="s">
        <v>681</v>
      </c>
      <c r="H220" t="s">
        <v>18</v>
      </c>
      <c r="I220" t="s">
        <v>682</v>
      </c>
      <c r="J220" t="str">
        <f>"9781292022369"</f>
        <v>9781292022369</v>
      </c>
      <c r="K220" t="str">
        <f>"9781292035567"</f>
        <v>9781292035567</v>
      </c>
      <c r="L220" t="s">
        <v>25</v>
      </c>
      <c r="M220" t="s">
        <v>15</v>
      </c>
    </row>
    <row r="221" spans="1:13" x14ac:dyDescent="0.15">
      <c r="A221">
        <v>5136946</v>
      </c>
      <c r="B221" t="s">
        <v>683</v>
      </c>
      <c r="C221" s="1">
        <v>41513</v>
      </c>
      <c r="D221">
        <v>10</v>
      </c>
      <c r="F221" t="s">
        <v>684</v>
      </c>
      <c r="H221" t="s">
        <v>18</v>
      </c>
      <c r="I221" t="s">
        <v>685</v>
      </c>
      <c r="J221" t="str">
        <f>"9781292021690"</f>
        <v>9781292021690</v>
      </c>
      <c r="K221" t="str">
        <f>"9781292034928"</f>
        <v>9781292034928</v>
      </c>
      <c r="L221" t="s">
        <v>25</v>
      </c>
      <c r="M221" t="s">
        <v>15</v>
      </c>
    </row>
    <row r="222" spans="1:13" x14ac:dyDescent="0.15">
      <c r="A222">
        <v>5136947</v>
      </c>
      <c r="B222" t="s">
        <v>686</v>
      </c>
      <c r="C222" s="1">
        <v>39989</v>
      </c>
      <c r="D222">
        <v>1</v>
      </c>
      <c r="F222" t="s">
        <v>687</v>
      </c>
      <c r="G222" t="s">
        <v>688</v>
      </c>
      <c r="H222" t="s">
        <v>18</v>
      </c>
      <c r="I222" t="s">
        <v>689</v>
      </c>
      <c r="J222" t="str">
        <f>"9780273721703"</f>
        <v>9780273721703</v>
      </c>
      <c r="K222" t="str">
        <f>"9780273727378"</f>
        <v>9780273727378</v>
      </c>
      <c r="L222" t="s">
        <v>25</v>
      </c>
      <c r="M222" t="s">
        <v>147</v>
      </c>
    </row>
    <row r="223" spans="1:13" x14ac:dyDescent="0.15">
      <c r="A223">
        <v>5136949</v>
      </c>
      <c r="B223" t="s">
        <v>690</v>
      </c>
      <c r="C223" s="1">
        <v>41513</v>
      </c>
      <c r="D223">
        <v>6</v>
      </c>
      <c r="F223" t="s">
        <v>691</v>
      </c>
      <c r="H223" t="s">
        <v>18</v>
      </c>
      <c r="I223" t="s">
        <v>692</v>
      </c>
      <c r="J223" t="str">
        <f>"9781292020747"</f>
        <v>9781292020747</v>
      </c>
      <c r="K223" t="str">
        <f>"9781292033990"</f>
        <v>9781292033990</v>
      </c>
      <c r="L223" t="s">
        <v>25</v>
      </c>
      <c r="M223" t="s">
        <v>15</v>
      </c>
    </row>
    <row r="224" spans="1:13" x14ac:dyDescent="0.15">
      <c r="A224">
        <v>5136952</v>
      </c>
      <c r="B224" t="s">
        <v>693</v>
      </c>
      <c r="C224" s="1">
        <v>41550</v>
      </c>
      <c r="D224">
        <v>3</v>
      </c>
      <c r="F224" t="s">
        <v>694</v>
      </c>
      <c r="H224" t="s">
        <v>18</v>
      </c>
      <c r="I224" t="s">
        <v>695</v>
      </c>
      <c r="J224" t="str">
        <f>"9781292041216"</f>
        <v>9781292041216</v>
      </c>
      <c r="K224" t="str">
        <f>"9781292054650"</f>
        <v>9781292054650</v>
      </c>
      <c r="L224" t="s">
        <v>25</v>
      </c>
      <c r="M224" t="s">
        <v>15</v>
      </c>
    </row>
    <row r="225" spans="1:13" x14ac:dyDescent="0.15">
      <c r="A225">
        <v>5136954</v>
      </c>
      <c r="B225" t="s">
        <v>696</v>
      </c>
      <c r="C225" s="1">
        <v>41579</v>
      </c>
      <c r="D225">
        <v>5</v>
      </c>
      <c r="F225" t="s">
        <v>697</v>
      </c>
      <c r="G225" t="s">
        <v>202</v>
      </c>
      <c r="H225" t="s">
        <v>18</v>
      </c>
      <c r="I225" t="s">
        <v>698</v>
      </c>
      <c r="J225" t="str">
        <f>"9781292026961"</f>
        <v>9781292026961</v>
      </c>
      <c r="K225" t="str">
        <f>"9781292054681"</f>
        <v>9781292054681</v>
      </c>
      <c r="L225" t="s">
        <v>25</v>
      </c>
      <c r="M225" t="s">
        <v>15</v>
      </c>
    </row>
    <row r="226" spans="1:13" x14ac:dyDescent="0.15">
      <c r="A226">
        <v>5136955</v>
      </c>
      <c r="B226" t="s">
        <v>699</v>
      </c>
      <c r="C226" s="1">
        <v>41513</v>
      </c>
      <c r="D226">
        <v>7</v>
      </c>
      <c r="F226" t="s">
        <v>700</v>
      </c>
      <c r="H226" t="s">
        <v>18</v>
      </c>
      <c r="I226" t="s">
        <v>701</v>
      </c>
      <c r="J226" t="str">
        <f>"9781292021560"</f>
        <v>9781292021560</v>
      </c>
      <c r="K226" t="str">
        <f>"9781292034799"</f>
        <v>9781292034799</v>
      </c>
      <c r="L226" t="s">
        <v>25</v>
      </c>
      <c r="M226" t="s">
        <v>15</v>
      </c>
    </row>
    <row r="227" spans="1:13" x14ac:dyDescent="0.15">
      <c r="A227">
        <v>5136957</v>
      </c>
      <c r="B227" t="s">
        <v>702</v>
      </c>
      <c r="C227" s="1">
        <v>41514</v>
      </c>
      <c r="D227">
        <v>6</v>
      </c>
      <c r="F227" t="s">
        <v>703</v>
      </c>
      <c r="G227" t="s">
        <v>65</v>
      </c>
      <c r="H227" t="s">
        <v>18</v>
      </c>
      <c r="I227" t="s">
        <v>704</v>
      </c>
      <c r="J227" t="str">
        <f>"9781292023144"</f>
        <v>9781292023144</v>
      </c>
      <c r="K227" t="str">
        <f>"9781292036328"</f>
        <v>9781292036328</v>
      </c>
      <c r="L227" t="s">
        <v>25</v>
      </c>
      <c r="M227" t="s">
        <v>15</v>
      </c>
    </row>
    <row r="228" spans="1:13" x14ac:dyDescent="0.15">
      <c r="A228">
        <v>5136958</v>
      </c>
      <c r="B228" t="s">
        <v>705</v>
      </c>
      <c r="C228" s="1">
        <v>41513</v>
      </c>
      <c r="D228">
        <v>8</v>
      </c>
      <c r="F228" t="s">
        <v>706</v>
      </c>
      <c r="H228" t="s">
        <v>18</v>
      </c>
      <c r="I228" t="s">
        <v>707</v>
      </c>
      <c r="J228" t="str">
        <f>"9781292021225"</f>
        <v>9781292021225</v>
      </c>
      <c r="K228" t="str">
        <f>"9781292034454"</f>
        <v>9781292034454</v>
      </c>
      <c r="L228" t="s">
        <v>25</v>
      </c>
      <c r="M228" t="s">
        <v>15</v>
      </c>
    </row>
    <row r="229" spans="1:13" x14ac:dyDescent="0.15">
      <c r="A229">
        <v>5136959</v>
      </c>
      <c r="B229" t="s">
        <v>708</v>
      </c>
      <c r="C229" s="1">
        <v>41515</v>
      </c>
      <c r="D229">
        <v>4</v>
      </c>
      <c r="F229" t="s">
        <v>709</v>
      </c>
      <c r="H229" t="s">
        <v>18</v>
      </c>
      <c r="I229" t="s">
        <v>710</v>
      </c>
      <c r="J229" t="str">
        <f>"9781292025186"</f>
        <v>9781292025186</v>
      </c>
      <c r="K229" t="str">
        <f>"9781292037776"</f>
        <v>9781292037776</v>
      </c>
      <c r="L229" t="s">
        <v>25</v>
      </c>
      <c r="M229" t="s">
        <v>15</v>
      </c>
    </row>
    <row r="230" spans="1:13" x14ac:dyDescent="0.15">
      <c r="A230">
        <v>5136961</v>
      </c>
      <c r="B230" t="s">
        <v>711</v>
      </c>
      <c r="C230" s="1">
        <v>41550</v>
      </c>
      <c r="D230">
        <v>3</v>
      </c>
      <c r="F230" t="s">
        <v>712</v>
      </c>
      <c r="H230" t="s">
        <v>18</v>
      </c>
      <c r="I230" t="s">
        <v>713</v>
      </c>
      <c r="J230" t="str">
        <f>"9781292039633"</f>
        <v>9781292039633</v>
      </c>
      <c r="K230" t="str">
        <f>"9781292056111"</f>
        <v>9781292056111</v>
      </c>
      <c r="L230" t="s">
        <v>25</v>
      </c>
      <c r="M230" t="s">
        <v>15</v>
      </c>
    </row>
    <row r="231" spans="1:13" x14ac:dyDescent="0.15">
      <c r="A231">
        <v>5136963</v>
      </c>
      <c r="B231" t="s">
        <v>714</v>
      </c>
      <c r="C231" s="1">
        <v>41515</v>
      </c>
      <c r="D231">
        <v>5</v>
      </c>
      <c r="F231" t="s">
        <v>715</v>
      </c>
      <c r="H231" t="s">
        <v>18</v>
      </c>
      <c r="I231" t="s">
        <v>716</v>
      </c>
      <c r="J231" t="str">
        <f>"9781292025803"</f>
        <v>9781292025803</v>
      </c>
      <c r="K231" t="str">
        <f>"9781292038223"</f>
        <v>9781292038223</v>
      </c>
      <c r="L231" t="s">
        <v>25</v>
      </c>
      <c r="M231" t="s">
        <v>15</v>
      </c>
    </row>
    <row r="232" spans="1:13" x14ac:dyDescent="0.15">
      <c r="A232">
        <v>5136965</v>
      </c>
      <c r="B232" t="s">
        <v>717</v>
      </c>
      <c r="C232" s="1">
        <v>41584</v>
      </c>
      <c r="D232">
        <v>11</v>
      </c>
      <c r="F232" t="s">
        <v>718</v>
      </c>
      <c r="H232" t="s">
        <v>18</v>
      </c>
      <c r="I232" t="s">
        <v>719</v>
      </c>
      <c r="J232" t="str">
        <f>""</f>
        <v/>
      </c>
      <c r="K232" t="str">
        <f>"9780273791331"</f>
        <v>9780273791331</v>
      </c>
      <c r="L232" t="s">
        <v>25</v>
      </c>
      <c r="M232" t="s">
        <v>15</v>
      </c>
    </row>
    <row r="233" spans="1:13" x14ac:dyDescent="0.15">
      <c r="A233">
        <v>5136966</v>
      </c>
      <c r="B233" t="s">
        <v>720</v>
      </c>
      <c r="C233" s="1">
        <v>41584</v>
      </c>
      <c r="D233">
        <v>11</v>
      </c>
      <c r="F233" t="s">
        <v>718</v>
      </c>
      <c r="H233" t="s">
        <v>18</v>
      </c>
      <c r="I233" t="s">
        <v>721</v>
      </c>
      <c r="J233" t="str">
        <f>""</f>
        <v/>
      </c>
      <c r="K233" t="str">
        <f>"9780273791539"</f>
        <v>9780273791539</v>
      </c>
      <c r="L233" t="s">
        <v>25</v>
      </c>
      <c r="M233" t="s">
        <v>15</v>
      </c>
    </row>
    <row r="234" spans="1:13" x14ac:dyDescent="0.15">
      <c r="A234">
        <v>5136967</v>
      </c>
      <c r="B234" t="s">
        <v>722</v>
      </c>
      <c r="C234" s="1">
        <v>41312</v>
      </c>
      <c r="D234">
        <v>8</v>
      </c>
      <c r="F234" t="s">
        <v>723</v>
      </c>
      <c r="H234" t="s">
        <v>18</v>
      </c>
      <c r="I234" t="s">
        <v>724</v>
      </c>
      <c r="J234" t="str">
        <f>"9780273735755"</f>
        <v>9780273735755</v>
      </c>
      <c r="K234" t="str">
        <f>"9780273735762"</f>
        <v>9780273735762</v>
      </c>
      <c r="L234" t="s">
        <v>25</v>
      </c>
      <c r="M234" t="s">
        <v>294</v>
      </c>
    </row>
    <row r="235" spans="1:13" x14ac:dyDescent="0.15">
      <c r="A235">
        <v>5136968</v>
      </c>
      <c r="B235" t="s">
        <v>725</v>
      </c>
      <c r="C235" s="1">
        <v>41513</v>
      </c>
      <c r="D235">
        <v>5</v>
      </c>
      <c r="F235" t="s">
        <v>726</v>
      </c>
      <c r="H235" t="s">
        <v>18</v>
      </c>
      <c r="I235" t="s">
        <v>727</v>
      </c>
      <c r="J235" t="str">
        <f>"9781292020198"</f>
        <v>9781292020198</v>
      </c>
      <c r="K235" t="str">
        <f>"9781292033594"</f>
        <v>9781292033594</v>
      </c>
      <c r="L235" t="s">
        <v>25</v>
      </c>
      <c r="M235" t="s">
        <v>15</v>
      </c>
    </row>
    <row r="236" spans="1:13" x14ac:dyDescent="0.15">
      <c r="A236">
        <v>5136969</v>
      </c>
      <c r="B236" t="s">
        <v>728</v>
      </c>
      <c r="C236" s="1">
        <v>41550</v>
      </c>
      <c r="D236">
        <v>5</v>
      </c>
      <c r="F236" t="s">
        <v>729</v>
      </c>
      <c r="H236" t="s">
        <v>18</v>
      </c>
      <c r="I236" t="s">
        <v>730</v>
      </c>
      <c r="J236" t="str">
        <f>"9781292039275"</f>
        <v>9781292039275</v>
      </c>
      <c r="K236" t="str">
        <f>"9781292054834"</f>
        <v>9781292054834</v>
      </c>
      <c r="L236" t="s">
        <v>25</v>
      </c>
      <c r="M236" t="s">
        <v>15</v>
      </c>
    </row>
    <row r="237" spans="1:13" x14ac:dyDescent="0.15">
      <c r="A237">
        <v>5136971</v>
      </c>
      <c r="B237" t="s">
        <v>731</v>
      </c>
      <c r="C237" s="1">
        <v>40730</v>
      </c>
      <c r="D237">
        <v>13</v>
      </c>
      <c r="F237" t="s">
        <v>732</v>
      </c>
      <c r="G237" t="s">
        <v>304</v>
      </c>
      <c r="H237" t="s">
        <v>18</v>
      </c>
      <c r="I237" t="s">
        <v>733</v>
      </c>
      <c r="J237" t="str">
        <f>"9781292042138"</f>
        <v>9781292042138</v>
      </c>
      <c r="K237" t="str">
        <f>"9781292054858"</f>
        <v>9781292054858</v>
      </c>
      <c r="L237" t="s">
        <v>25</v>
      </c>
      <c r="M237" t="s">
        <v>15</v>
      </c>
    </row>
    <row r="238" spans="1:13" x14ac:dyDescent="0.15">
      <c r="A238">
        <v>5136972</v>
      </c>
      <c r="B238" t="s">
        <v>734</v>
      </c>
      <c r="C238" s="1">
        <v>41515</v>
      </c>
      <c r="D238">
        <v>2</v>
      </c>
      <c r="F238" t="s">
        <v>735</v>
      </c>
      <c r="H238" t="s">
        <v>18</v>
      </c>
      <c r="I238" t="s">
        <v>736</v>
      </c>
      <c r="J238" t="str">
        <f>"9781292026237"</f>
        <v>9781292026237</v>
      </c>
      <c r="K238" t="str">
        <f>"9781292038636"</f>
        <v>9781292038636</v>
      </c>
      <c r="L238" t="s">
        <v>25</v>
      </c>
      <c r="M238" t="s">
        <v>15</v>
      </c>
    </row>
    <row r="239" spans="1:13" x14ac:dyDescent="0.15">
      <c r="A239">
        <v>5136974</v>
      </c>
      <c r="B239" t="s">
        <v>737</v>
      </c>
      <c r="C239" s="1">
        <v>41194</v>
      </c>
      <c r="D239">
        <v>7</v>
      </c>
      <c r="F239" t="s">
        <v>738</v>
      </c>
      <c r="G239" t="s">
        <v>36</v>
      </c>
      <c r="H239" t="s">
        <v>18</v>
      </c>
      <c r="I239" t="s">
        <v>739</v>
      </c>
      <c r="J239" t="str">
        <f>"9780273763468"</f>
        <v>9780273763468</v>
      </c>
      <c r="K239" t="str">
        <f>"9780273763499"</f>
        <v>9780273763499</v>
      </c>
      <c r="L239" t="s">
        <v>25</v>
      </c>
      <c r="M239" t="s">
        <v>15</v>
      </c>
    </row>
    <row r="240" spans="1:13" x14ac:dyDescent="0.15">
      <c r="A240">
        <v>5136975</v>
      </c>
      <c r="B240" t="s">
        <v>740</v>
      </c>
      <c r="C240" s="1">
        <v>41514</v>
      </c>
      <c r="D240">
        <v>8</v>
      </c>
      <c r="F240" t="s">
        <v>741</v>
      </c>
      <c r="H240" t="s">
        <v>18</v>
      </c>
      <c r="I240" t="s">
        <v>742</v>
      </c>
      <c r="J240" t="str">
        <f>"9781292023250"</f>
        <v>9781292023250</v>
      </c>
      <c r="K240" t="str">
        <f>"9781292036427"</f>
        <v>9781292036427</v>
      </c>
      <c r="L240" t="s">
        <v>25</v>
      </c>
      <c r="M240" t="s">
        <v>15</v>
      </c>
    </row>
    <row r="241" spans="1:13" x14ac:dyDescent="0.15">
      <c r="A241">
        <v>5136976</v>
      </c>
      <c r="B241" t="s">
        <v>743</v>
      </c>
      <c r="C241" s="1">
        <v>41550</v>
      </c>
      <c r="D241">
        <v>8</v>
      </c>
      <c r="F241" t="s">
        <v>744</v>
      </c>
      <c r="H241" t="s">
        <v>18</v>
      </c>
      <c r="I241" t="s">
        <v>745</v>
      </c>
      <c r="J241" t="str">
        <f>"9781292027937"</f>
        <v>9781292027937</v>
      </c>
      <c r="K241" t="str">
        <f>"9781292054957"</f>
        <v>9781292054957</v>
      </c>
      <c r="L241" t="s">
        <v>25</v>
      </c>
      <c r="M241" t="s">
        <v>15</v>
      </c>
    </row>
    <row r="242" spans="1:13" x14ac:dyDescent="0.15">
      <c r="A242">
        <v>5136977</v>
      </c>
      <c r="B242" t="s">
        <v>746</v>
      </c>
      <c r="C242" s="1">
        <v>41513</v>
      </c>
      <c r="D242">
        <v>7</v>
      </c>
      <c r="F242" t="s">
        <v>747</v>
      </c>
      <c r="H242" t="s">
        <v>18</v>
      </c>
      <c r="I242" t="s">
        <v>748</v>
      </c>
      <c r="J242" t="str">
        <f>"9781292021614"</f>
        <v>9781292021614</v>
      </c>
      <c r="K242" t="str">
        <f>"9781292034843"</f>
        <v>9781292034843</v>
      </c>
      <c r="L242" t="s">
        <v>25</v>
      </c>
      <c r="M242" t="s">
        <v>15</v>
      </c>
    </row>
    <row r="243" spans="1:13" x14ac:dyDescent="0.15">
      <c r="A243">
        <v>5136981</v>
      </c>
      <c r="B243" t="s">
        <v>749</v>
      </c>
      <c r="C243" s="1">
        <v>41414</v>
      </c>
      <c r="D243">
        <v>4</v>
      </c>
      <c r="F243" t="s">
        <v>750</v>
      </c>
      <c r="G243" t="s">
        <v>117</v>
      </c>
      <c r="H243" t="s">
        <v>18</v>
      </c>
      <c r="I243" t="s">
        <v>751</v>
      </c>
      <c r="J243" t="str">
        <f>"9781447923060"</f>
        <v>9781447923060</v>
      </c>
      <c r="K243" t="str">
        <f>"9781447923091"</f>
        <v>9781447923091</v>
      </c>
      <c r="L243" t="s">
        <v>25</v>
      </c>
      <c r="M243" t="s">
        <v>15</v>
      </c>
    </row>
    <row r="244" spans="1:13" x14ac:dyDescent="0.15">
      <c r="A244">
        <v>5136984</v>
      </c>
      <c r="B244" t="s">
        <v>752</v>
      </c>
      <c r="C244" s="1">
        <v>41515</v>
      </c>
      <c r="D244">
        <v>7</v>
      </c>
      <c r="F244" t="s">
        <v>753</v>
      </c>
      <c r="H244" t="s">
        <v>18</v>
      </c>
      <c r="I244" t="s">
        <v>754</v>
      </c>
      <c r="J244" t="str">
        <f>"9781292026350"</f>
        <v>9781292026350</v>
      </c>
      <c r="K244" t="str">
        <f>"9781292038742"</f>
        <v>9781292038742</v>
      </c>
      <c r="L244" t="s">
        <v>25</v>
      </c>
      <c r="M244" t="s">
        <v>15</v>
      </c>
    </row>
    <row r="245" spans="1:13" x14ac:dyDescent="0.15">
      <c r="A245">
        <v>5136989</v>
      </c>
      <c r="B245" t="s">
        <v>755</v>
      </c>
      <c r="C245" s="1">
        <v>41436</v>
      </c>
      <c r="D245">
        <v>11</v>
      </c>
      <c r="F245" t="s">
        <v>756</v>
      </c>
      <c r="H245" t="s">
        <v>18</v>
      </c>
      <c r="I245" t="s">
        <v>757</v>
      </c>
      <c r="J245" t="str">
        <f>"9781447923152"</f>
        <v>9781447923152</v>
      </c>
      <c r="K245" t="str">
        <f>"9781447923169"</f>
        <v>9781447923169</v>
      </c>
      <c r="L245" t="s">
        <v>25</v>
      </c>
      <c r="M245" t="s">
        <v>15</v>
      </c>
    </row>
    <row r="246" spans="1:13" x14ac:dyDescent="0.15">
      <c r="A246">
        <v>5136994</v>
      </c>
      <c r="B246" t="s">
        <v>758</v>
      </c>
      <c r="C246" s="1">
        <v>41514</v>
      </c>
      <c r="D246">
        <v>7</v>
      </c>
      <c r="F246" t="s">
        <v>759</v>
      </c>
      <c r="H246" t="s">
        <v>18</v>
      </c>
      <c r="I246" t="s">
        <v>760</v>
      </c>
      <c r="J246" t="str">
        <f>"9781292022970"</f>
        <v>9781292022970</v>
      </c>
      <c r="K246" t="str">
        <f>"9781292036151"</f>
        <v>9781292036151</v>
      </c>
      <c r="L246" t="s">
        <v>25</v>
      </c>
      <c r="M246" t="s">
        <v>15</v>
      </c>
    </row>
    <row r="247" spans="1:13" x14ac:dyDescent="0.15">
      <c r="A247">
        <v>5136996</v>
      </c>
      <c r="B247" t="s">
        <v>761</v>
      </c>
      <c r="C247" s="1">
        <v>41514</v>
      </c>
      <c r="D247">
        <v>12</v>
      </c>
      <c r="F247" t="s">
        <v>762</v>
      </c>
      <c r="H247" t="s">
        <v>18</v>
      </c>
      <c r="I247" t="s">
        <v>763</v>
      </c>
      <c r="J247" t="str">
        <f>"9781292022444"</f>
        <v>9781292022444</v>
      </c>
      <c r="K247" t="str">
        <f>"9781292035642"</f>
        <v>9781292035642</v>
      </c>
      <c r="L247" t="s">
        <v>25</v>
      </c>
      <c r="M247" t="s">
        <v>15</v>
      </c>
    </row>
    <row r="248" spans="1:13" x14ac:dyDescent="0.15">
      <c r="A248">
        <v>5136997</v>
      </c>
      <c r="B248" t="s">
        <v>764</v>
      </c>
      <c r="C248" s="1">
        <v>41514</v>
      </c>
      <c r="D248">
        <v>5</v>
      </c>
      <c r="F248" t="s">
        <v>765</v>
      </c>
      <c r="H248" t="s">
        <v>18</v>
      </c>
      <c r="I248" t="s">
        <v>766</v>
      </c>
      <c r="J248" t="str">
        <f>"9781292022857"</f>
        <v>9781292022857</v>
      </c>
      <c r="K248" t="str">
        <f>"9781292036045"</f>
        <v>9781292036045</v>
      </c>
      <c r="L248" t="s">
        <v>25</v>
      </c>
      <c r="M248" t="s">
        <v>15</v>
      </c>
    </row>
    <row r="249" spans="1:13" x14ac:dyDescent="0.15">
      <c r="A249">
        <v>5136998</v>
      </c>
      <c r="B249" t="s">
        <v>767</v>
      </c>
      <c r="C249" s="1">
        <v>41514</v>
      </c>
      <c r="D249">
        <v>10</v>
      </c>
      <c r="F249" t="s">
        <v>768</v>
      </c>
      <c r="H249" t="s">
        <v>18</v>
      </c>
      <c r="I249" t="s">
        <v>769</v>
      </c>
      <c r="J249" t="str">
        <f>"9781292022789"</f>
        <v>9781292022789</v>
      </c>
      <c r="K249" t="str">
        <f>"9781292035987"</f>
        <v>9781292035987</v>
      </c>
      <c r="L249" t="s">
        <v>25</v>
      </c>
      <c r="M249" t="s">
        <v>15</v>
      </c>
    </row>
    <row r="250" spans="1:13" x14ac:dyDescent="0.15">
      <c r="A250">
        <v>5136999</v>
      </c>
      <c r="B250" t="s">
        <v>770</v>
      </c>
      <c r="C250" s="1">
        <v>41515</v>
      </c>
      <c r="D250">
        <v>4</v>
      </c>
      <c r="F250" t="s">
        <v>771</v>
      </c>
      <c r="H250" t="s">
        <v>18</v>
      </c>
      <c r="I250" t="s">
        <v>772</v>
      </c>
      <c r="J250" t="str">
        <f>"9781292023977"</f>
        <v>9781292023977</v>
      </c>
      <c r="K250" t="str">
        <f>"9781292037073"</f>
        <v>9781292037073</v>
      </c>
      <c r="L250" t="s">
        <v>25</v>
      </c>
      <c r="M250" t="s">
        <v>15</v>
      </c>
    </row>
    <row r="251" spans="1:13" x14ac:dyDescent="0.15">
      <c r="A251">
        <v>5137002</v>
      </c>
      <c r="B251" t="s">
        <v>773</v>
      </c>
      <c r="C251" s="1">
        <v>41128</v>
      </c>
      <c r="D251">
        <v>6</v>
      </c>
      <c r="F251" t="s">
        <v>774</v>
      </c>
      <c r="G251" t="s">
        <v>36</v>
      </c>
      <c r="H251" t="s">
        <v>18</v>
      </c>
      <c r="I251" t="s">
        <v>775</v>
      </c>
      <c r="J251" t="str">
        <f>"9780273750758"</f>
        <v>9780273750758</v>
      </c>
      <c r="K251" t="str">
        <f>"9780273750802"</f>
        <v>9780273750802</v>
      </c>
      <c r="L251" t="s">
        <v>25</v>
      </c>
      <c r="M251" t="s">
        <v>39</v>
      </c>
    </row>
    <row r="252" spans="1:13" x14ac:dyDescent="0.15">
      <c r="A252">
        <v>5137003</v>
      </c>
      <c r="B252" t="s">
        <v>776</v>
      </c>
      <c r="C252" s="1">
        <v>41584</v>
      </c>
      <c r="D252">
        <v>5</v>
      </c>
      <c r="F252" t="s">
        <v>777</v>
      </c>
      <c r="H252" t="s">
        <v>18</v>
      </c>
      <c r="I252" t="s">
        <v>778</v>
      </c>
      <c r="J252" t="str">
        <f>""</f>
        <v/>
      </c>
      <c r="K252" t="str">
        <f>"9780273775539"</f>
        <v>9780273775539</v>
      </c>
      <c r="L252" t="s">
        <v>25</v>
      </c>
      <c r="M252" t="s">
        <v>298</v>
      </c>
    </row>
    <row r="253" spans="1:13" x14ac:dyDescent="0.15">
      <c r="A253">
        <v>5137004</v>
      </c>
      <c r="B253" t="s">
        <v>779</v>
      </c>
      <c r="C253" s="1">
        <v>41584</v>
      </c>
      <c r="D253">
        <v>5</v>
      </c>
      <c r="F253" t="s">
        <v>777</v>
      </c>
      <c r="H253" t="s">
        <v>18</v>
      </c>
      <c r="I253" t="s">
        <v>780</v>
      </c>
      <c r="J253" t="str">
        <f>""</f>
        <v/>
      </c>
      <c r="K253" t="str">
        <f>"9780273775508"</f>
        <v>9780273775508</v>
      </c>
      <c r="L253" t="s">
        <v>25</v>
      </c>
      <c r="M253" t="s">
        <v>298</v>
      </c>
    </row>
    <row r="254" spans="1:13" x14ac:dyDescent="0.15">
      <c r="A254">
        <v>5137005</v>
      </c>
      <c r="B254" t="s">
        <v>781</v>
      </c>
      <c r="C254" s="1">
        <v>41584</v>
      </c>
      <c r="D254">
        <v>8</v>
      </c>
      <c r="F254" t="s">
        <v>777</v>
      </c>
      <c r="H254" t="s">
        <v>18</v>
      </c>
      <c r="I254" t="s">
        <v>782</v>
      </c>
      <c r="J254" t="str">
        <f>"9780273752189"</f>
        <v>9780273752189</v>
      </c>
      <c r="K254" t="str">
        <f>"9781447930488"</f>
        <v>9781447930488</v>
      </c>
      <c r="L254" t="s">
        <v>25</v>
      </c>
      <c r="M254" t="s">
        <v>298</v>
      </c>
    </row>
    <row r="255" spans="1:13" x14ac:dyDescent="0.15">
      <c r="A255">
        <v>5137008</v>
      </c>
      <c r="B255" t="s">
        <v>783</v>
      </c>
      <c r="C255" s="1">
        <v>41513</v>
      </c>
      <c r="D255">
        <v>13</v>
      </c>
      <c r="F255" t="s">
        <v>784</v>
      </c>
      <c r="H255" t="s">
        <v>18</v>
      </c>
      <c r="I255" t="s">
        <v>785</v>
      </c>
      <c r="J255" t="str">
        <f>"9781292020303"</f>
        <v>9781292020303</v>
      </c>
      <c r="K255" t="str">
        <f>"9781292033655"</f>
        <v>9781292033655</v>
      </c>
      <c r="L255" t="s">
        <v>25</v>
      </c>
      <c r="M255" t="s">
        <v>15</v>
      </c>
    </row>
    <row r="256" spans="1:13" x14ac:dyDescent="0.15">
      <c r="A256">
        <v>5137009</v>
      </c>
      <c r="B256" t="s">
        <v>786</v>
      </c>
      <c r="C256" s="1">
        <v>41455</v>
      </c>
      <c r="D256">
        <v>10</v>
      </c>
      <c r="F256" t="s">
        <v>787</v>
      </c>
      <c r="G256" t="s">
        <v>65</v>
      </c>
      <c r="H256" t="s">
        <v>18</v>
      </c>
      <c r="I256" t="s">
        <v>788</v>
      </c>
      <c r="J256" t="str">
        <f>"9781292021683"</f>
        <v>9781292021683</v>
      </c>
      <c r="K256" t="str">
        <f>"9781292034911"</f>
        <v>9781292034911</v>
      </c>
      <c r="L256" t="s">
        <v>25</v>
      </c>
      <c r="M256" t="s">
        <v>15</v>
      </c>
    </row>
    <row r="257" spans="1:13" x14ac:dyDescent="0.15">
      <c r="A257">
        <v>5137010</v>
      </c>
      <c r="B257" t="s">
        <v>789</v>
      </c>
      <c r="C257" s="1">
        <v>41550</v>
      </c>
      <c r="D257">
        <v>1</v>
      </c>
      <c r="F257" t="s">
        <v>790</v>
      </c>
      <c r="H257" t="s">
        <v>18</v>
      </c>
      <c r="I257" t="s">
        <v>791</v>
      </c>
      <c r="J257" t="str">
        <f>"9781292039886"</f>
        <v>9781292039886</v>
      </c>
      <c r="K257" t="str">
        <f>"9781292055275"</f>
        <v>9781292055275</v>
      </c>
      <c r="L257" t="s">
        <v>25</v>
      </c>
      <c r="M257" t="s">
        <v>15</v>
      </c>
    </row>
    <row r="258" spans="1:13" x14ac:dyDescent="0.15">
      <c r="A258">
        <v>5137011</v>
      </c>
      <c r="B258" t="s">
        <v>792</v>
      </c>
      <c r="C258" s="1">
        <v>41513</v>
      </c>
      <c r="D258">
        <v>5</v>
      </c>
      <c r="F258" t="s">
        <v>793</v>
      </c>
      <c r="H258" t="s">
        <v>18</v>
      </c>
      <c r="I258" t="s">
        <v>794</v>
      </c>
      <c r="J258" t="str">
        <f>"9781292021119"</f>
        <v>9781292021119</v>
      </c>
      <c r="K258" t="str">
        <f>"9781292034362"</f>
        <v>9781292034362</v>
      </c>
      <c r="L258" t="s">
        <v>25</v>
      </c>
      <c r="M258" t="s">
        <v>15</v>
      </c>
    </row>
    <row r="259" spans="1:13" x14ac:dyDescent="0.15">
      <c r="A259">
        <v>5137012</v>
      </c>
      <c r="B259" t="s">
        <v>795</v>
      </c>
      <c r="C259" s="1">
        <v>41353</v>
      </c>
      <c r="D259">
        <v>10</v>
      </c>
      <c r="F259" t="s">
        <v>796</v>
      </c>
      <c r="H259" t="s">
        <v>18</v>
      </c>
      <c r="I259" t="s">
        <v>797</v>
      </c>
      <c r="J259" t="str">
        <f>""</f>
        <v/>
      </c>
      <c r="K259" t="str">
        <f>"9780273775560"</f>
        <v>9780273775560</v>
      </c>
      <c r="L259" t="s">
        <v>25</v>
      </c>
      <c r="M259" t="s">
        <v>298</v>
      </c>
    </row>
    <row r="260" spans="1:13" x14ac:dyDescent="0.15">
      <c r="A260">
        <v>5137013</v>
      </c>
      <c r="B260" t="s">
        <v>798</v>
      </c>
      <c r="C260" s="1">
        <v>41579</v>
      </c>
      <c r="D260">
        <v>2</v>
      </c>
      <c r="F260" t="s">
        <v>799</v>
      </c>
      <c r="H260" t="s">
        <v>18</v>
      </c>
      <c r="I260" t="s">
        <v>800</v>
      </c>
      <c r="J260" t="str">
        <f>"9781292022925"</f>
        <v>9781292022925</v>
      </c>
      <c r="K260" t="str">
        <f>"9781292036106"</f>
        <v>9781292036106</v>
      </c>
      <c r="L260" t="s">
        <v>25</v>
      </c>
      <c r="M260" t="s">
        <v>15</v>
      </c>
    </row>
    <row r="261" spans="1:13" x14ac:dyDescent="0.15">
      <c r="A261">
        <v>5137015</v>
      </c>
      <c r="B261" t="s">
        <v>801</v>
      </c>
      <c r="C261" s="1">
        <v>41550</v>
      </c>
      <c r="D261">
        <v>5</v>
      </c>
      <c r="F261" t="s">
        <v>802</v>
      </c>
      <c r="H261" t="s">
        <v>18</v>
      </c>
      <c r="I261" t="s">
        <v>803</v>
      </c>
      <c r="J261" t="str">
        <f>"9781292039527"</f>
        <v>9781292039527</v>
      </c>
      <c r="K261" t="str">
        <f>"9781292055374"</f>
        <v>9781292055374</v>
      </c>
      <c r="L261" t="s">
        <v>25</v>
      </c>
      <c r="M261" t="s">
        <v>15</v>
      </c>
    </row>
    <row r="262" spans="1:13" x14ac:dyDescent="0.15">
      <c r="A262">
        <v>5137017</v>
      </c>
      <c r="B262" t="s">
        <v>804</v>
      </c>
      <c r="C262" s="1">
        <v>41515</v>
      </c>
      <c r="D262">
        <v>6</v>
      </c>
      <c r="F262" t="s">
        <v>805</v>
      </c>
      <c r="G262" t="s">
        <v>806</v>
      </c>
      <c r="H262" t="s">
        <v>18</v>
      </c>
      <c r="I262" t="s">
        <v>807</v>
      </c>
      <c r="J262" t="str">
        <f>"9781292026473"</f>
        <v>9781292026473</v>
      </c>
      <c r="K262" t="str">
        <f>"9781292038865"</f>
        <v>9781292038865</v>
      </c>
      <c r="L262" t="s">
        <v>25</v>
      </c>
      <c r="M262" t="s">
        <v>15</v>
      </c>
    </row>
    <row r="263" spans="1:13" x14ac:dyDescent="0.15">
      <c r="A263">
        <v>5137018</v>
      </c>
      <c r="B263" t="s">
        <v>808</v>
      </c>
      <c r="C263" s="1">
        <v>41515</v>
      </c>
      <c r="D263">
        <v>5</v>
      </c>
      <c r="F263" t="s">
        <v>809</v>
      </c>
      <c r="H263" t="s">
        <v>18</v>
      </c>
      <c r="I263" t="s">
        <v>810</v>
      </c>
      <c r="J263" t="str">
        <f>"9781292026282"</f>
        <v>9781292026282</v>
      </c>
      <c r="K263" t="str">
        <f>"9781292038674"</f>
        <v>9781292038674</v>
      </c>
      <c r="L263" t="s">
        <v>25</v>
      </c>
      <c r="M263" t="s">
        <v>15</v>
      </c>
    </row>
    <row r="264" spans="1:13" x14ac:dyDescent="0.15">
      <c r="A264">
        <v>5137019</v>
      </c>
      <c r="B264" t="s">
        <v>811</v>
      </c>
      <c r="C264" s="1">
        <v>41515</v>
      </c>
      <c r="D264">
        <v>4</v>
      </c>
      <c r="F264" t="s">
        <v>809</v>
      </c>
      <c r="H264" t="s">
        <v>18</v>
      </c>
      <c r="I264" t="s">
        <v>812</v>
      </c>
      <c r="J264" t="str">
        <f>"9781292026329"</f>
        <v>9781292026329</v>
      </c>
      <c r="K264" t="str">
        <f>"9781292038711"</f>
        <v>9781292038711</v>
      </c>
      <c r="L264" t="s">
        <v>25</v>
      </c>
      <c r="M264" t="s">
        <v>15</v>
      </c>
    </row>
    <row r="265" spans="1:13" x14ac:dyDescent="0.15">
      <c r="A265">
        <v>5137023</v>
      </c>
      <c r="B265" t="s">
        <v>813</v>
      </c>
      <c r="C265" s="1">
        <v>41081</v>
      </c>
      <c r="D265">
        <v>8</v>
      </c>
      <c r="F265" t="s">
        <v>814</v>
      </c>
      <c r="G265" t="s">
        <v>202</v>
      </c>
      <c r="H265" t="s">
        <v>18</v>
      </c>
      <c r="I265" t="s">
        <v>815</v>
      </c>
      <c r="J265" t="str">
        <f>"9780273763123"</f>
        <v>9780273763123</v>
      </c>
      <c r="K265" t="str">
        <f>"9780273763161"</f>
        <v>9780273763161</v>
      </c>
      <c r="L265" t="s">
        <v>25</v>
      </c>
      <c r="M265" t="s">
        <v>15</v>
      </c>
    </row>
    <row r="266" spans="1:13" x14ac:dyDescent="0.15">
      <c r="A266">
        <v>5137026</v>
      </c>
      <c r="B266" t="s">
        <v>816</v>
      </c>
      <c r="C266" s="1">
        <v>41128</v>
      </c>
      <c r="D266">
        <v>5</v>
      </c>
      <c r="F266" t="s">
        <v>233</v>
      </c>
      <c r="H266" t="s">
        <v>18</v>
      </c>
      <c r="I266" t="s">
        <v>817</v>
      </c>
      <c r="J266" t="str">
        <f>"9781408280799"</f>
        <v>9781408280799</v>
      </c>
      <c r="K266" t="str">
        <f>"9781408280812"</f>
        <v>9781408280812</v>
      </c>
      <c r="L266" t="s">
        <v>25</v>
      </c>
      <c r="M266" t="s">
        <v>15</v>
      </c>
    </row>
    <row r="267" spans="1:13" x14ac:dyDescent="0.15">
      <c r="A267">
        <v>5137027</v>
      </c>
      <c r="B267" t="s">
        <v>818</v>
      </c>
      <c r="C267" s="1">
        <v>41550</v>
      </c>
      <c r="D267">
        <v>8</v>
      </c>
      <c r="F267" t="s">
        <v>819</v>
      </c>
      <c r="H267" t="s">
        <v>18</v>
      </c>
      <c r="I267" t="s">
        <v>820</v>
      </c>
      <c r="J267" t="str">
        <f>"9781292027593"</f>
        <v>9781292027593</v>
      </c>
      <c r="K267" t="str">
        <f>"9781292055473"</f>
        <v>9781292055473</v>
      </c>
      <c r="L267" t="s">
        <v>25</v>
      </c>
      <c r="M267" t="s">
        <v>15</v>
      </c>
    </row>
    <row r="268" spans="1:13" x14ac:dyDescent="0.15">
      <c r="A268">
        <v>5137030</v>
      </c>
      <c r="B268" t="s">
        <v>821</v>
      </c>
      <c r="C268" s="1">
        <v>41515</v>
      </c>
      <c r="D268">
        <v>3</v>
      </c>
      <c r="F268" t="s">
        <v>822</v>
      </c>
      <c r="G268" t="s">
        <v>36</v>
      </c>
      <c r="H268" t="s">
        <v>18</v>
      </c>
      <c r="I268" t="s">
        <v>823</v>
      </c>
      <c r="J268" t="str">
        <f>"9781292023786"</f>
        <v>9781292023786</v>
      </c>
      <c r="K268" t="str">
        <f>"9781292036915"</f>
        <v>9781292036915</v>
      </c>
      <c r="L268" t="s">
        <v>25</v>
      </c>
      <c r="M268" t="s">
        <v>15</v>
      </c>
    </row>
    <row r="269" spans="1:13" x14ac:dyDescent="0.15">
      <c r="A269">
        <v>5137031</v>
      </c>
      <c r="B269" t="s">
        <v>824</v>
      </c>
      <c r="C269" s="1">
        <v>40630</v>
      </c>
      <c r="D269">
        <v>6</v>
      </c>
      <c r="F269" t="s">
        <v>825</v>
      </c>
      <c r="G269" t="s">
        <v>36</v>
      </c>
      <c r="H269" t="s">
        <v>18</v>
      </c>
      <c r="I269" t="s">
        <v>826</v>
      </c>
      <c r="J269" t="str">
        <f>"9780273725596"</f>
        <v>9780273725596</v>
      </c>
      <c r="K269" t="str">
        <f>"9780273725619"</f>
        <v>9780273725619</v>
      </c>
      <c r="L269" t="s">
        <v>25</v>
      </c>
      <c r="M269" t="s">
        <v>39</v>
      </c>
    </row>
    <row r="270" spans="1:13" x14ac:dyDescent="0.15">
      <c r="A270">
        <v>5137040</v>
      </c>
      <c r="B270" t="s">
        <v>420</v>
      </c>
      <c r="C270" s="1">
        <v>41478</v>
      </c>
      <c r="D270">
        <v>2</v>
      </c>
      <c r="F270" t="s">
        <v>827</v>
      </c>
      <c r="G270" t="s">
        <v>189</v>
      </c>
      <c r="H270" t="s">
        <v>18</v>
      </c>
      <c r="I270" t="s">
        <v>828</v>
      </c>
      <c r="J270" t="str">
        <f>"9781292023885"</f>
        <v>9781292023885</v>
      </c>
      <c r="K270" t="str">
        <f>"9781292036991"</f>
        <v>9781292036991</v>
      </c>
      <c r="L270" t="s">
        <v>25</v>
      </c>
      <c r="M270" t="s">
        <v>15</v>
      </c>
    </row>
    <row r="271" spans="1:13" x14ac:dyDescent="0.15">
      <c r="A271">
        <v>5137043</v>
      </c>
      <c r="B271" t="s">
        <v>829</v>
      </c>
      <c r="C271" s="1">
        <v>41515</v>
      </c>
      <c r="D271">
        <v>3</v>
      </c>
      <c r="F271" t="s">
        <v>830</v>
      </c>
      <c r="H271" t="s">
        <v>18</v>
      </c>
      <c r="I271" t="s">
        <v>831</v>
      </c>
      <c r="J271" t="str">
        <f>"9781292025773"</f>
        <v>9781292025773</v>
      </c>
      <c r="K271" t="str">
        <f>"9781292038193"</f>
        <v>9781292038193</v>
      </c>
      <c r="L271" t="s">
        <v>25</v>
      </c>
      <c r="M271" t="s">
        <v>15</v>
      </c>
    </row>
    <row r="272" spans="1:13" x14ac:dyDescent="0.15">
      <c r="A272">
        <v>5137048</v>
      </c>
      <c r="B272" t="s">
        <v>832</v>
      </c>
      <c r="C272" s="1">
        <v>41275</v>
      </c>
      <c r="D272">
        <v>2</v>
      </c>
      <c r="F272" t="s">
        <v>99</v>
      </c>
      <c r="G272" t="s">
        <v>833</v>
      </c>
      <c r="H272" t="s">
        <v>18</v>
      </c>
      <c r="I272" t="s">
        <v>834</v>
      </c>
      <c r="J272" t="str">
        <f>"9781447929505"</f>
        <v>9781447929505</v>
      </c>
      <c r="K272" t="str">
        <f>"9781447929819"</f>
        <v>9781447929819</v>
      </c>
      <c r="L272" t="s">
        <v>25</v>
      </c>
      <c r="M272" t="s">
        <v>15</v>
      </c>
    </row>
    <row r="273" spans="1:13" x14ac:dyDescent="0.15">
      <c r="A273">
        <v>5137050</v>
      </c>
      <c r="B273" t="s">
        <v>835</v>
      </c>
      <c r="C273" s="1">
        <v>41373</v>
      </c>
      <c r="D273">
        <v>3</v>
      </c>
      <c r="F273" t="s">
        <v>99</v>
      </c>
      <c r="G273" t="s">
        <v>836</v>
      </c>
      <c r="H273" t="s">
        <v>18</v>
      </c>
      <c r="I273" t="s">
        <v>837</v>
      </c>
      <c r="J273" t="str">
        <f>"9781447929529"</f>
        <v>9781447929529</v>
      </c>
      <c r="K273" t="str">
        <f>"9781447929901"</f>
        <v>9781447929901</v>
      </c>
      <c r="L273" t="s">
        <v>25</v>
      </c>
      <c r="M273" t="s">
        <v>15</v>
      </c>
    </row>
    <row r="274" spans="1:13" x14ac:dyDescent="0.15">
      <c r="A274">
        <v>5137054</v>
      </c>
      <c r="B274" t="s">
        <v>838</v>
      </c>
      <c r="C274" s="1">
        <v>41323</v>
      </c>
      <c r="D274">
        <v>10</v>
      </c>
      <c r="F274" t="s">
        <v>839</v>
      </c>
      <c r="H274" t="s">
        <v>18</v>
      </c>
      <c r="I274" t="s">
        <v>840</v>
      </c>
      <c r="J274" t="str">
        <f>""</f>
        <v/>
      </c>
      <c r="K274" t="str">
        <f>"9780273775355"</f>
        <v>9780273775355</v>
      </c>
      <c r="L274" t="s">
        <v>25</v>
      </c>
      <c r="M274" t="s">
        <v>298</v>
      </c>
    </row>
    <row r="275" spans="1:13" x14ac:dyDescent="0.15">
      <c r="A275">
        <v>5137056</v>
      </c>
      <c r="B275" t="s">
        <v>841</v>
      </c>
      <c r="C275" s="1">
        <v>41459</v>
      </c>
      <c r="D275">
        <v>2</v>
      </c>
      <c r="F275" t="s">
        <v>842</v>
      </c>
      <c r="H275" t="s">
        <v>18</v>
      </c>
      <c r="I275" t="s">
        <v>843</v>
      </c>
      <c r="J275" t="str">
        <f>"9780273783473"</f>
        <v>9780273783473</v>
      </c>
      <c r="K275" t="str">
        <f>"9780273783503"</f>
        <v>9780273783503</v>
      </c>
      <c r="L275" t="s">
        <v>25</v>
      </c>
      <c r="M275" t="s">
        <v>15</v>
      </c>
    </row>
    <row r="276" spans="1:13" x14ac:dyDescent="0.15">
      <c r="A276">
        <v>5137058</v>
      </c>
      <c r="B276" t="s">
        <v>844</v>
      </c>
      <c r="C276" s="1">
        <v>41579</v>
      </c>
      <c r="D276">
        <v>9</v>
      </c>
      <c r="F276" t="s">
        <v>845</v>
      </c>
      <c r="H276" t="s">
        <v>18</v>
      </c>
      <c r="I276" t="s">
        <v>846</v>
      </c>
      <c r="J276" t="str">
        <f>"9781292021799"</f>
        <v>9781292021799</v>
      </c>
      <c r="K276" t="str">
        <f>"9781292035017"</f>
        <v>9781292035017</v>
      </c>
      <c r="L276" t="s">
        <v>25</v>
      </c>
      <c r="M276" t="s">
        <v>15</v>
      </c>
    </row>
    <row r="277" spans="1:13" x14ac:dyDescent="0.15">
      <c r="A277">
        <v>5137060</v>
      </c>
      <c r="B277" t="s">
        <v>342</v>
      </c>
      <c r="C277" s="1">
        <v>41513</v>
      </c>
      <c r="D277">
        <v>11</v>
      </c>
      <c r="F277" t="s">
        <v>847</v>
      </c>
      <c r="H277" t="s">
        <v>18</v>
      </c>
      <c r="I277" t="s">
        <v>848</v>
      </c>
      <c r="J277" t="str">
        <f>"9781292022154"</f>
        <v>9781292022154</v>
      </c>
      <c r="K277" t="str">
        <f>"9781292035352"</f>
        <v>9781292035352</v>
      </c>
      <c r="L277" t="s">
        <v>25</v>
      </c>
      <c r="M277" t="s">
        <v>15</v>
      </c>
    </row>
    <row r="278" spans="1:13" x14ac:dyDescent="0.15">
      <c r="A278">
        <v>5137061</v>
      </c>
      <c r="B278" t="s">
        <v>849</v>
      </c>
      <c r="C278" s="1">
        <v>41513</v>
      </c>
      <c r="D278">
        <v>4</v>
      </c>
      <c r="F278" t="s">
        <v>850</v>
      </c>
      <c r="H278" t="s">
        <v>18</v>
      </c>
      <c r="I278" t="s">
        <v>851</v>
      </c>
      <c r="J278" t="str">
        <f>"9781292020624"</f>
        <v>9781292020624</v>
      </c>
      <c r="K278" t="str">
        <f>"9781292033891"</f>
        <v>9781292033891</v>
      </c>
      <c r="L278" t="s">
        <v>25</v>
      </c>
      <c r="M278" t="s">
        <v>15</v>
      </c>
    </row>
    <row r="279" spans="1:13" x14ac:dyDescent="0.15">
      <c r="A279">
        <v>5137062</v>
      </c>
      <c r="B279" t="s">
        <v>852</v>
      </c>
      <c r="C279" s="1">
        <v>41515</v>
      </c>
      <c r="D279">
        <v>11</v>
      </c>
      <c r="F279" t="s">
        <v>853</v>
      </c>
      <c r="H279" t="s">
        <v>18</v>
      </c>
      <c r="I279" t="s">
        <v>854</v>
      </c>
      <c r="J279" t="str">
        <f>"9781292026305"</f>
        <v>9781292026305</v>
      </c>
      <c r="K279" t="str">
        <f>"9781292038698"</f>
        <v>9781292038698</v>
      </c>
      <c r="L279" t="s">
        <v>25</v>
      </c>
      <c r="M279" t="s">
        <v>15</v>
      </c>
    </row>
    <row r="280" spans="1:13" x14ac:dyDescent="0.15">
      <c r="A280">
        <v>5137063</v>
      </c>
      <c r="B280" t="s">
        <v>855</v>
      </c>
      <c r="C280" s="1">
        <v>41514</v>
      </c>
      <c r="D280">
        <v>4</v>
      </c>
      <c r="F280" t="s">
        <v>856</v>
      </c>
      <c r="H280" t="s">
        <v>18</v>
      </c>
      <c r="I280" t="s">
        <v>857</v>
      </c>
      <c r="J280" t="str">
        <f>"9781292022697"</f>
        <v>9781292022697</v>
      </c>
      <c r="K280" t="str">
        <f>"9781292035895"</f>
        <v>9781292035895</v>
      </c>
      <c r="L280" t="s">
        <v>25</v>
      </c>
      <c r="M280" t="s">
        <v>15</v>
      </c>
    </row>
    <row r="281" spans="1:13" x14ac:dyDescent="0.15">
      <c r="A281">
        <v>5137065</v>
      </c>
      <c r="B281" t="s">
        <v>858</v>
      </c>
      <c r="C281" s="1">
        <v>41515</v>
      </c>
      <c r="D281">
        <v>2</v>
      </c>
      <c r="F281" t="s">
        <v>859</v>
      </c>
      <c r="H281" t="s">
        <v>18</v>
      </c>
      <c r="I281" t="s">
        <v>860</v>
      </c>
      <c r="J281" t="str">
        <f>"9781292026244"</f>
        <v>9781292026244</v>
      </c>
      <c r="K281" t="str">
        <f>"9781292038643"</f>
        <v>9781292038643</v>
      </c>
      <c r="L281" t="s">
        <v>25</v>
      </c>
      <c r="M281" t="s">
        <v>15</v>
      </c>
    </row>
    <row r="282" spans="1:13" x14ac:dyDescent="0.15">
      <c r="A282">
        <v>5137066</v>
      </c>
      <c r="B282" t="s">
        <v>342</v>
      </c>
      <c r="C282" s="1">
        <v>41513</v>
      </c>
      <c r="D282">
        <v>3</v>
      </c>
      <c r="F282" t="s">
        <v>859</v>
      </c>
      <c r="G282" t="s">
        <v>351</v>
      </c>
      <c r="H282" t="s">
        <v>18</v>
      </c>
      <c r="I282" t="s">
        <v>861</v>
      </c>
      <c r="J282" t="str">
        <f>"9781292022185"</f>
        <v>9781292022185</v>
      </c>
      <c r="K282" t="str">
        <f>"9781292035383"</f>
        <v>9781292035383</v>
      </c>
      <c r="L282" t="s">
        <v>25</v>
      </c>
      <c r="M282" t="s">
        <v>15</v>
      </c>
    </row>
    <row r="283" spans="1:13" x14ac:dyDescent="0.15">
      <c r="A283">
        <v>5137067</v>
      </c>
      <c r="B283" t="s">
        <v>862</v>
      </c>
      <c r="C283" s="1">
        <v>41515</v>
      </c>
      <c r="D283">
        <v>9</v>
      </c>
      <c r="F283" t="s">
        <v>863</v>
      </c>
      <c r="H283" t="s">
        <v>18</v>
      </c>
      <c r="I283" t="s">
        <v>864</v>
      </c>
      <c r="J283" t="str">
        <f>"9781292024264"</f>
        <v>9781292024264</v>
      </c>
      <c r="K283" t="str">
        <f>"9781292037202"</f>
        <v>9781292037202</v>
      </c>
      <c r="L283" t="s">
        <v>25</v>
      </c>
      <c r="M283" t="s">
        <v>15</v>
      </c>
    </row>
    <row r="284" spans="1:13" x14ac:dyDescent="0.15">
      <c r="A284">
        <v>5137069</v>
      </c>
      <c r="B284" t="s">
        <v>865</v>
      </c>
      <c r="C284" s="1">
        <v>41515</v>
      </c>
      <c r="D284">
        <v>6</v>
      </c>
      <c r="F284" t="s">
        <v>866</v>
      </c>
      <c r="H284" t="s">
        <v>18</v>
      </c>
      <c r="I284" t="s">
        <v>867</v>
      </c>
      <c r="J284" t="str">
        <f>"9781292025711"</f>
        <v>9781292025711</v>
      </c>
      <c r="K284" t="str">
        <f>"9781292038148"</f>
        <v>9781292038148</v>
      </c>
      <c r="L284" t="s">
        <v>25</v>
      </c>
      <c r="M284" t="s">
        <v>15</v>
      </c>
    </row>
    <row r="285" spans="1:13" x14ac:dyDescent="0.15">
      <c r="A285">
        <v>5137070</v>
      </c>
      <c r="B285" t="s">
        <v>868</v>
      </c>
      <c r="C285" s="1">
        <v>41514</v>
      </c>
      <c r="D285">
        <v>5</v>
      </c>
      <c r="F285" t="s">
        <v>869</v>
      </c>
      <c r="H285" t="s">
        <v>18</v>
      </c>
      <c r="I285" t="s">
        <v>870</v>
      </c>
      <c r="J285" t="str">
        <f>"9781292023496"</f>
        <v>9781292023496</v>
      </c>
      <c r="K285" t="str">
        <f>"9781292036663"</f>
        <v>9781292036663</v>
      </c>
      <c r="L285" t="s">
        <v>25</v>
      </c>
      <c r="M285" t="s">
        <v>15</v>
      </c>
    </row>
    <row r="286" spans="1:13" x14ac:dyDescent="0.15">
      <c r="A286">
        <v>5137071</v>
      </c>
      <c r="B286" t="s">
        <v>871</v>
      </c>
      <c r="C286" s="1">
        <v>41513</v>
      </c>
      <c r="D286">
        <v>8</v>
      </c>
      <c r="F286" t="s">
        <v>872</v>
      </c>
      <c r="G286" t="s">
        <v>873</v>
      </c>
      <c r="H286" t="s">
        <v>18</v>
      </c>
      <c r="I286" t="s">
        <v>874</v>
      </c>
      <c r="J286" t="str">
        <f>"9781292021072"</f>
        <v>9781292021072</v>
      </c>
      <c r="K286" t="str">
        <f>"9781292034324"</f>
        <v>9781292034324</v>
      </c>
      <c r="L286" t="s">
        <v>25</v>
      </c>
      <c r="M286" t="s">
        <v>15</v>
      </c>
    </row>
    <row r="287" spans="1:13" x14ac:dyDescent="0.15">
      <c r="A287">
        <v>5137073</v>
      </c>
      <c r="B287" t="s">
        <v>349</v>
      </c>
      <c r="C287" s="1">
        <v>41513</v>
      </c>
      <c r="D287">
        <v>8</v>
      </c>
      <c r="F287" t="s">
        <v>875</v>
      </c>
      <c r="H287" t="s">
        <v>18</v>
      </c>
      <c r="I287" t="s">
        <v>876</v>
      </c>
      <c r="J287" t="str">
        <f>"9781292021652"</f>
        <v>9781292021652</v>
      </c>
      <c r="K287" t="str">
        <f>"9781292034881"</f>
        <v>9781292034881</v>
      </c>
      <c r="L287" t="s">
        <v>25</v>
      </c>
      <c r="M287" t="s">
        <v>15</v>
      </c>
    </row>
    <row r="288" spans="1:13" x14ac:dyDescent="0.15">
      <c r="A288">
        <v>5137080</v>
      </c>
      <c r="B288" t="s">
        <v>877</v>
      </c>
      <c r="C288" s="1">
        <v>40317</v>
      </c>
      <c r="D288">
        <v>5</v>
      </c>
      <c r="F288" t="s">
        <v>878</v>
      </c>
      <c r="G288" t="s">
        <v>36</v>
      </c>
      <c r="H288" t="s">
        <v>18</v>
      </c>
      <c r="I288" t="s">
        <v>879</v>
      </c>
      <c r="J288" t="str">
        <f>"9780273725251"</f>
        <v>9780273725251</v>
      </c>
      <c r="K288" t="str">
        <f>"9780273725275"</f>
        <v>9780273725275</v>
      </c>
      <c r="L288" t="s">
        <v>25</v>
      </c>
      <c r="M288" t="s">
        <v>39</v>
      </c>
    </row>
    <row r="289" spans="1:13" x14ac:dyDescent="0.15">
      <c r="A289">
        <v>5137081</v>
      </c>
      <c r="B289" t="s">
        <v>880</v>
      </c>
      <c r="C289" s="1">
        <v>41305</v>
      </c>
      <c r="D289">
        <v>6</v>
      </c>
      <c r="F289" t="s">
        <v>878</v>
      </c>
      <c r="G289" t="s">
        <v>36</v>
      </c>
      <c r="H289" t="s">
        <v>18</v>
      </c>
      <c r="I289" t="s">
        <v>881</v>
      </c>
      <c r="J289" t="str">
        <f>"9780273762744"</f>
        <v>9780273762744</v>
      </c>
      <c r="K289" t="str">
        <f>"9780273762867"</f>
        <v>9780273762867</v>
      </c>
      <c r="L289" t="s">
        <v>25</v>
      </c>
      <c r="M289" t="s">
        <v>15</v>
      </c>
    </row>
    <row r="290" spans="1:13" x14ac:dyDescent="0.15">
      <c r="A290">
        <v>5137087</v>
      </c>
      <c r="B290" t="s">
        <v>882</v>
      </c>
      <c r="C290" s="1">
        <v>41550</v>
      </c>
      <c r="D290">
        <v>5</v>
      </c>
      <c r="F290" t="s">
        <v>883</v>
      </c>
      <c r="H290" t="s">
        <v>18</v>
      </c>
      <c r="I290" t="s">
        <v>884</v>
      </c>
      <c r="J290" t="str">
        <f>"9781292039824"</f>
        <v>9781292039824</v>
      </c>
      <c r="K290" t="str">
        <f>"9781292055961"</f>
        <v>9781292055961</v>
      </c>
      <c r="L290" t="s">
        <v>25</v>
      </c>
      <c r="M290" t="s">
        <v>15</v>
      </c>
    </row>
    <row r="291" spans="1:13" x14ac:dyDescent="0.15">
      <c r="A291">
        <v>5137088</v>
      </c>
      <c r="B291" t="s">
        <v>885</v>
      </c>
      <c r="C291" s="1">
        <v>41004</v>
      </c>
      <c r="D291">
        <v>5</v>
      </c>
      <c r="F291" t="s">
        <v>886</v>
      </c>
      <c r="G291" t="s">
        <v>596</v>
      </c>
      <c r="H291" t="s">
        <v>18</v>
      </c>
      <c r="I291" t="s">
        <v>887</v>
      </c>
      <c r="J291" t="str">
        <f>"9781408245477"</f>
        <v>9781408245477</v>
      </c>
      <c r="K291" t="str">
        <f>"9781408245507"</f>
        <v>9781408245507</v>
      </c>
      <c r="L291" t="s">
        <v>25</v>
      </c>
      <c r="M291" t="s">
        <v>15</v>
      </c>
    </row>
    <row r="292" spans="1:13" x14ac:dyDescent="0.15">
      <c r="A292">
        <v>5137089</v>
      </c>
      <c r="B292" t="s">
        <v>888</v>
      </c>
      <c r="C292" s="1">
        <v>41311</v>
      </c>
      <c r="D292">
        <v>4</v>
      </c>
      <c r="F292" t="s">
        <v>889</v>
      </c>
      <c r="G292" t="s">
        <v>890</v>
      </c>
      <c r="H292" t="s">
        <v>18</v>
      </c>
      <c r="I292" t="s">
        <v>891</v>
      </c>
      <c r="J292" t="str">
        <f>"9781408245521"</f>
        <v>9781408245521</v>
      </c>
      <c r="K292" t="str">
        <f>"9781408245552"</f>
        <v>9781408245552</v>
      </c>
      <c r="L292" t="s">
        <v>25</v>
      </c>
      <c r="M292" t="s">
        <v>15</v>
      </c>
    </row>
    <row r="293" spans="1:13" x14ac:dyDescent="0.15">
      <c r="A293">
        <v>5137091</v>
      </c>
      <c r="B293" t="s">
        <v>892</v>
      </c>
      <c r="C293" s="1">
        <v>41493</v>
      </c>
      <c r="D293">
        <v>8</v>
      </c>
      <c r="F293" t="s">
        <v>893</v>
      </c>
      <c r="G293" t="s">
        <v>408</v>
      </c>
      <c r="H293" t="s">
        <v>18</v>
      </c>
      <c r="I293" t="s">
        <v>894</v>
      </c>
      <c r="J293" t="str">
        <f>"9781292022222"</f>
        <v>9781292022222</v>
      </c>
      <c r="K293" t="str">
        <f>"9781292035420"</f>
        <v>9781292035420</v>
      </c>
      <c r="L293" t="s">
        <v>25</v>
      </c>
      <c r="M293" t="s">
        <v>15</v>
      </c>
    </row>
    <row r="294" spans="1:13" x14ac:dyDescent="0.15">
      <c r="A294">
        <v>5137092</v>
      </c>
      <c r="B294" t="s">
        <v>895</v>
      </c>
      <c r="C294" s="1">
        <v>41515</v>
      </c>
      <c r="D294">
        <v>10</v>
      </c>
      <c r="F294" t="s">
        <v>896</v>
      </c>
      <c r="H294" t="s">
        <v>18</v>
      </c>
      <c r="I294" t="s">
        <v>897</v>
      </c>
      <c r="J294" t="str">
        <f>"9781292025322"</f>
        <v>9781292025322</v>
      </c>
      <c r="K294" t="str">
        <f>"9781292037882"</f>
        <v>9781292037882</v>
      </c>
      <c r="L294" t="s">
        <v>25</v>
      </c>
      <c r="M294" t="s">
        <v>15</v>
      </c>
    </row>
    <row r="295" spans="1:13" x14ac:dyDescent="0.15">
      <c r="A295">
        <v>5137094</v>
      </c>
      <c r="B295" t="s">
        <v>898</v>
      </c>
      <c r="C295" s="1">
        <v>41495</v>
      </c>
      <c r="D295">
        <v>16</v>
      </c>
      <c r="F295" t="s">
        <v>899</v>
      </c>
      <c r="G295" t="s">
        <v>117</v>
      </c>
      <c r="H295" t="s">
        <v>18</v>
      </c>
      <c r="I295" t="s">
        <v>900</v>
      </c>
      <c r="J295" t="str">
        <f>"9781447923107"</f>
        <v>9781447923107</v>
      </c>
      <c r="K295" t="str">
        <f>"9781447923121"</f>
        <v>9781447923121</v>
      </c>
      <c r="L295" t="s">
        <v>25</v>
      </c>
      <c r="M295" t="s">
        <v>15</v>
      </c>
    </row>
    <row r="296" spans="1:13" x14ac:dyDescent="0.15">
      <c r="A296">
        <v>5137096</v>
      </c>
      <c r="B296" t="s">
        <v>901</v>
      </c>
      <c r="C296" s="1">
        <v>41393</v>
      </c>
      <c r="D296">
        <v>2</v>
      </c>
      <c r="F296" t="s">
        <v>902</v>
      </c>
      <c r="H296" t="s">
        <v>18</v>
      </c>
      <c r="I296" t="s">
        <v>903</v>
      </c>
      <c r="J296" t="str">
        <f>"9780273783435"</f>
        <v>9780273783435</v>
      </c>
      <c r="K296" t="str">
        <f>"9780273783466"</f>
        <v>9780273783466</v>
      </c>
      <c r="L296" t="s">
        <v>25</v>
      </c>
      <c r="M296" t="s">
        <v>15</v>
      </c>
    </row>
    <row r="297" spans="1:13" x14ac:dyDescent="0.15">
      <c r="A297">
        <v>5137097</v>
      </c>
      <c r="B297" t="s">
        <v>904</v>
      </c>
      <c r="C297" s="1">
        <v>41550</v>
      </c>
      <c r="D297">
        <v>4</v>
      </c>
      <c r="F297" t="s">
        <v>905</v>
      </c>
      <c r="H297" t="s">
        <v>18</v>
      </c>
      <c r="I297" t="s">
        <v>906</v>
      </c>
      <c r="J297" t="str">
        <f>"9781292042275"</f>
        <v>9781292042275</v>
      </c>
      <c r="K297" t="str">
        <f>"9781292056197"</f>
        <v>9781292056197</v>
      </c>
      <c r="L297" t="s">
        <v>25</v>
      </c>
      <c r="M297" t="s">
        <v>15</v>
      </c>
    </row>
    <row r="298" spans="1:13" x14ac:dyDescent="0.15">
      <c r="A298">
        <v>5137098</v>
      </c>
      <c r="B298" t="s">
        <v>907</v>
      </c>
      <c r="C298" s="1">
        <v>41513</v>
      </c>
      <c r="D298">
        <v>2</v>
      </c>
      <c r="F298" t="s">
        <v>908</v>
      </c>
      <c r="H298" t="s">
        <v>18</v>
      </c>
      <c r="I298" t="s">
        <v>909</v>
      </c>
      <c r="J298" t="str">
        <f>"9781292021034"</f>
        <v>9781292021034</v>
      </c>
      <c r="K298" t="str">
        <f>"9781292034287"</f>
        <v>9781292034287</v>
      </c>
      <c r="L298" t="s">
        <v>25</v>
      </c>
      <c r="M298" t="s">
        <v>15</v>
      </c>
    </row>
    <row r="299" spans="1:13" x14ac:dyDescent="0.15">
      <c r="A299">
        <v>5137099</v>
      </c>
      <c r="B299" t="s">
        <v>907</v>
      </c>
      <c r="C299" s="1">
        <v>41513</v>
      </c>
      <c r="D299">
        <v>2</v>
      </c>
      <c r="F299" t="s">
        <v>908</v>
      </c>
      <c r="H299" t="s">
        <v>18</v>
      </c>
      <c r="I299" t="s">
        <v>910</v>
      </c>
      <c r="J299" t="str">
        <f>"9781292021027"</f>
        <v>9781292021027</v>
      </c>
      <c r="K299" t="str">
        <f>"9781292034270"</f>
        <v>9781292034270</v>
      </c>
      <c r="L299" t="s">
        <v>25</v>
      </c>
      <c r="M299" t="s">
        <v>15</v>
      </c>
    </row>
    <row r="300" spans="1:13" x14ac:dyDescent="0.15">
      <c r="A300">
        <v>5137101</v>
      </c>
      <c r="B300" t="s">
        <v>441</v>
      </c>
      <c r="C300" s="1">
        <v>41513</v>
      </c>
      <c r="D300">
        <v>12</v>
      </c>
      <c r="F300" t="s">
        <v>911</v>
      </c>
      <c r="H300" t="s">
        <v>18</v>
      </c>
      <c r="I300" t="s">
        <v>912</v>
      </c>
      <c r="J300" t="str">
        <f>""</f>
        <v/>
      </c>
      <c r="K300" t="str">
        <f>"9781292034522"</f>
        <v>9781292034522</v>
      </c>
      <c r="L300" t="s">
        <v>25</v>
      </c>
      <c r="M300" t="s">
        <v>15</v>
      </c>
    </row>
    <row r="301" spans="1:13" x14ac:dyDescent="0.15">
      <c r="A301">
        <v>5137103</v>
      </c>
      <c r="B301" t="s">
        <v>913</v>
      </c>
      <c r="C301" s="1">
        <v>41515</v>
      </c>
      <c r="D301">
        <v>1</v>
      </c>
      <c r="F301" t="s">
        <v>914</v>
      </c>
      <c r="H301" t="s">
        <v>18</v>
      </c>
      <c r="I301" t="s">
        <v>915</v>
      </c>
      <c r="J301" t="str">
        <f>"9781292025261"</f>
        <v>9781292025261</v>
      </c>
      <c r="K301" t="str">
        <f>"9781292037820"</f>
        <v>9781292037820</v>
      </c>
      <c r="L301" t="s">
        <v>25</v>
      </c>
      <c r="M301" t="s">
        <v>15</v>
      </c>
    </row>
    <row r="302" spans="1:13" x14ac:dyDescent="0.15">
      <c r="A302">
        <v>5137104</v>
      </c>
      <c r="B302" t="s">
        <v>578</v>
      </c>
      <c r="C302" s="1">
        <v>41515</v>
      </c>
      <c r="D302">
        <v>9</v>
      </c>
      <c r="F302" t="s">
        <v>916</v>
      </c>
      <c r="H302" t="s">
        <v>18</v>
      </c>
      <c r="I302" t="s">
        <v>917</v>
      </c>
      <c r="J302" t="str">
        <f>"9781292025490"</f>
        <v>9781292025490</v>
      </c>
      <c r="K302" t="str">
        <f>"9781292037981"</f>
        <v>9781292037981</v>
      </c>
      <c r="L302" t="s">
        <v>25</v>
      </c>
      <c r="M302" t="s">
        <v>15</v>
      </c>
    </row>
    <row r="303" spans="1:13" x14ac:dyDescent="0.15">
      <c r="A303">
        <v>5137106</v>
      </c>
      <c r="B303" t="s">
        <v>918</v>
      </c>
      <c r="C303" s="1">
        <v>40817</v>
      </c>
      <c r="D303">
        <v>2</v>
      </c>
      <c r="F303" t="s">
        <v>919</v>
      </c>
      <c r="G303" t="s">
        <v>36</v>
      </c>
      <c r="H303" t="s">
        <v>18</v>
      </c>
      <c r="I303" t="s">
        <v>920</v>
      </c>
      <c r="J303" t="str">
        <f>"9780273737872"</f>
        <v>9780273737872</v>
      </c>
      <c r="K303" t="str">
        <f>"9780273737889"</f>
        <v>9780273737889</v>
      </c>
      <c r="L303" t="s">
        <v>25</v>
      </c>
      <c r="M303" t="s">
        <v>39</v>
      </c>
    </row>
    <row r="304" spans="1:13" x14ac:dyDescent="0.15">
      <c r="A304">
        <v>5137109</v>
      </c>
      <c r="B304" t="s">
        <v>921</v>
      </c>
      <c r="C304" s="1">
        <v>41365</v>
      </c>
      <c r="D304">
        <v>1</v>
      </c>
      <c r="F304" t="s">
        <v>922</v>
      </c>
      <c r="G304" t="s">
        <v>36</v>
      </c>
      <c r="H304" t="s">
        <v>18</v>
      </c>
      <c r="I304" t="s">
        <v>923</v>
      </c>
      <c r="J304" t="str">
        <f>"9780273724339"</f>
        <v>9780273724339</v>
      </c>
      <c r="K304" t="str">
        <f>"9780273724377"</f>
        <v>9780273724377</v>
      </c>
      <c r="L304" t="s">
        <v>25</v>
      </c>
      <c r="M304" t="s">
        <v>15</v>
      </c>
    </row>
    <row r="305" spans="1:13" x14ac:dyDescent="0.15">
      <c r="A305">
        <v>5137117</v>
      </c>
      <c r="B305" t="s">
        <v>924</v>
      </c>
      <c r="C305" s="1">
        <v>40630</v>
      </c>
      <c r="D305">
        <v>2</v>
      </c>
      <c r="F305" t="s">
        <v>113</v>
      </c>
      <c r="H305" t="s">
        <v>18</v>
      </c>
      <c r="I305" t="s">
        <v>925</v>
      </c>
      <c r="J305" t="str">
        <f>""</f>
        <v/>
      </c>
      <c r="K305" t="str">
        <f>"9780273743415"</f>
        <v>9780273743415</v>
      </c>
      <c r="L305" t="s">
        <v>25</v>
      </c>
      <c r="M305" t="s">
        <v>112</v>
      </c>
    </row>
    <row r="306" spans="1:13" x14ac:dyDescent="0.15">
      <c r="A306">
        <v>5137135</v>
      </c>
      <c r="B306" t="s">
        <v>926</v>
      </c>
      <c r="C306" s="1">
        <v>40630</v>
      </c>
      <c r="D306">
        <v>1</v>
      </c>
      <c r="F306" t="s">
        <v>927</v>
      </c>
      <c r="H306" t="s">
        <v>18</v>
      </c>
      <c r="I306" t="s">
        <v>928</v>
      </c>
      <c r="J306" t="str">
        <f>"9780133545586"</f>
        <v>9780133545586</v>
      </c>
      <c r="K306" t="str">
        <f>"9780273736387"</f>
        <v>9780273736387</v>
      </c>
      <c r="L306" t="s">
        <v>25</v>
      </c>
      <c r="M306" t="s">
        <v>39</v>
      </c>
    </row>
    <row r="307" spans="1:13" x14ac:dyDescent="0.15">
      <c r="A307">
        <v>5137136</v>
      </c>
      <c r="B307" t="s">
        <v>929</v>
      </c>
      <c r="C307" s="1">
        <v>40513</v>
      </c>
      <c r="D307">
        <v>2</v>
      </c>
      <c r="F307" t="s">
        <v>930</v>
      </c>
      <c r="G307" t="s">
        <v>65</v>
      </c>
      <c r="H307" t="s">
        <v>18</v>
      </c>
      <c r="I307" t="s">
        <v>931</v>
      </c>
      <c r="J307" t="str">
        <f>"9780273735922"</f>
        <v>9780273735922</v>
      </c>
      <c r="K307" t="str">
        <f>"9780273735939"</f>
        <v>9780273735939</v>
      </c>
      <c r="L307" t="s">
        <v>25</v>
      </c>
      <c r="M307" t="s">
        <v>51</v>
      </c>
    </row>
    <row r="308" spans="1:13" x14ac:dyDescent="0.15">
      <c r="A308">
        <v>5137137</v>
      </c>
      <c r="B308" t="s">
        <v>932</v>
      </c>
      <c r="C308" s="1">
        <v>41485</v>
      </c>
      <c r="D308">
        <v>4</v>
      </c>
      <c r="F308" t="s">
        <v>933</v>
      </c>
      <c r="G308" t="s">
        <v>304</v>
      </c>
      <c r="H308" t="s">
        <v>18</v>
      </c>
      <c r="I308" t="s">
        <v>934</v>
      </c>
      <c r="J308" t="str">
        <f>"9781292021669"</f>
        <v>9781292021669</v>
      </c>
      <c r="K308" t="str">
        <f>"9781292034898"</f>
        <v>9781292034898</v>
      </c>
      <c r="L308" t="s">
        <v>25</v>
      </c>
      <c r="M308" t="s">
        <v>15</v>
      </c>
    </row>
    <row r="309" spans="1:13" x14ac:dyDescent="0.15">
      <c r="A309">
        <v>5137138</v>
      </c>
      <c r="B309" t="s">
        <v>935</v>
      </c>
      <c r="C309" s="1">
        <v>41472</v>
      </c>
      <c r="D309">
        <v>3</v>
      </c>
      <c r="F309" t="s">
        <v>936</v>
      </c>
      <c r="G309" t="s">
        <v>189</v>
      </c>
      <c r="H309" t="s">
        <v>18</v>
      </c>
      <c r="I309" t="s">
        <v>937</v>
      </c>
      <c r="J309" t="str">
        <f>"9781292021188"</f>
        <v>9781292021188</v>
      </c>
      <c r="K309" t="str">
        <f>"9781292034416"</f>
        <v>9781292034416</v>
      </c>
      <c r="L309" t="s">
        <v>25</v>
      </c>
      <c r="M309" t="s">
        <v>15</v>
      </c>
    </row>
    <row r="310" spans="1:13" x14ac:dyDescent="0.15">
      <c r="A310">
        <v>5137156</v>
      </c>
      <c r="B310" t="s">
        <v>938</v>
      </c>
      <c r="C310" s="1">
        <v>41466</v>
      </c>
      <c r="D310">
        <v>2</v>
      </c>
      <c r="F310" t="s">
        <v>939</v>
      </c>
      <c r="G310" t="s">
        <v>36</v>
      </c>
      <c r="H310" t="s">
        <v>18</v>
      </c>
      <c r="I310" t="s">
        <v>940</v>
      </c>
      <c r="J310" t="str">
        <f>"9780273776703"</f>
        <v>9780273776703</v>
      </c>
      <c r="K310" t="str">
        <f>"9780273776710"</f>
        <v>9780273776710</v>
      </c>
      <c r="L310" t="s">
        <v>25</v>
      </c>
      <c r="M310" t="s">
        <v>34</v>
      </c>
    </row>
    <row r="311" spans="1:13" x14ac:dyDescent="0.15">
      <c r="A311">
        <v>5137160</v>
      </c>
      <c r="B311" t="s">
        <v>941</v>
      </c>
      <c r="C311" s="1">
        <v>41526</v>
      </c>
      <c r="D311">
        <v>8</v>
      </c>
      <c r="F311" t="s">
        <v>942</v>
      </c>
      <c r="G311" t="s">
        <v>189</v>
      </c>
      <c r="H311" t="s">
        <v>18</v>
      </c>
      <c r="I311" t="s">
        <v>943</v>
      </c>
      <c r="J311" t="str">
        <f>"9781292025179"</f>
        <v>9781292025179</v>
      </c>
      <c r="K311" t="str">
        <f>"9781292037769"</f>
        <v>9781292037769</v>
      </c>
      <c r="L311" t="s">
        <v>25</v>
      </c>
      <c r="M311" t="s">
        <v>15</v>
      </c>
    </row>
    <row r="312" spans="1:13" x14ac:dyDescent="0.15">
      <c r="A312">
        <v>5137162</v>
      </c>
      <c r="B312" t="s">
        <v>944</v>
      </c>
      <c r="C312" s="1">
        <v>41579</v>
      </c>
      <c r="D312">
        <v>6</v>
      </c>
      <c r="F312" t="s">
        <v>945</v>
      </c>
      <c r="G312" t="s">
        <v>946</v>
      </c>
      <c r="H312" t="s">
        <v>18</v>
      </c>
      <c r="I312" t="s">
        <v>947</v>
      </c>
      <c r="J312" t="str">
        <f>"9781292040387"</f>
        <v>9781292040387</v>
      </c>
      <c r="K312" t="str">
        <f>"9781292051697"</f>
        <v>9781292051697</v>
      </c>
      <c r="L312" t="s">
        <v>25</v>
      </c>
      <c r="M312" t="s">
        <v>15</v>
      </c>
    </row>
    <row r="313" spans="1:13" x14ac:dyDescent="0.15">
      <c r="A313">
        <v>5137178</v>
      </c>
      <c r="B313" t="s">
        <v>948</v>
      </c>
      <c r="C313" s="1">
        <v>41579</v>
      </c>
      <c r="D313">
        <v>5</v>
      </c>
      <c r="F313" t="s">
        <v>949</v>
      </c>
      <c r="G313" t="s">
        <v>304</v>
      </c>
      <c r="H313" t="s">
        <v>18</v>
      </c>
      <c r="I313" t="s">
        <v>950</v>
      </c>
      <c r="J313" t="str">
        <f>"9781292042664"</f>
        <v>9781292042664</v>
      </c>
      <c r="K313" t="str">
        <f>"9781292051710"</f>
        <v>9781292051710</v>
      </c>
      <c r="L313" t="s">
        <v>25</v>
      </c>
      <c r="M313" t="s">
        <v>15</v>
      </c>
    </row>
    <row r="314" spans="1:13" x14ac:dyDescent="0.15">
      <c r="A314">
        <v>5137179</v>
      </c>
      <c r="B314" t="s">
        <v>951</v>
      </c>
      <c r="C314" s="1">
        <v>41579</v>
      </c>
      <c r="D314">
        <v>1</v>
      </c>
      <c r="F314" t="s">
        <v>949</v>
      </c>
      <c r="G314" t="s">
        <v>304</v>
      </c>
      <c r="H314" t="s">
        <v>18</v>
      </c>
      <c r="I314" t="s">
        <v>952</v>
      </c>
      <c r="J314" t="str">
        <f>"9781292039596"</f>
        <v>9781292039596</v>
      </c>
      <c r="K314" t="str">
        <f>"9781292051703"</f>
        <v>9781292051703</v>
      </c>
      <c r="L314" t="s">
        <v>25</v>
      </c>
      <c r="M314" t="s">
        <v>15</v>
      </c>
    </row>
    <row r="315" spans="1:13" x14ac:dyDescent="0.15">
      <c r="A315">
        <v>5137182</v>
      </c>
      <c r="B315" t="s">
        <v>953</v>
      </c>
      <c r="C315" s="1">
        <v>40630</v>
      </c>
      <c r="D315">
        <v>1</v>
      </c>
      <c r="F315" t="s">
        <v>954</v>
      </c>
      <c r="H315" t="s">
        <v>18</v>
      </c>
      <c r="I315" t="s">
        <v>955</v>
      </c>
      <c r="J315" t="str">
        <f>""</f>
        <v/>
      </c>
      <c r="K315" t="str">
        <f>"9780273743392"</f>
        <v>9780273743392</v>
      </c>
      <c r="L315" t="s">
        <v>25</v>
      </c>
      <c r="M315" t="s">
        <v>39</v>
      </c>
    </row>
    <row r="316" spans="1:13" x14ac:dyDescent="0.15">
      <c r="A316">
        <v>5137190</v>
      </c>
      <c r="B316" t="s">
        <v>956</v>
      </c>
      <c r="C316" s="1">
        <v>41579</v>
      </c>
      <c r="D316">
        <v>6</v>
      </c>
      <c r="F316" t="s">
        <v>957</v>
      </c>
      <c r="G316" t="s">
        <v>65</v>
      </c>
      <c r="H316" t="s">
        <v>18</v>
      </c>
      <c r="I316" t="s">
        <v>958</v>
      </c>
      <c r="J316" t="str">
        <f>"9781292040295"</f>
        <v>9781292040295</v>
      </c>
      <c r="K316" t="str">
        <f>"9781292051734"</f>
        <v>9781292051734</v>
      </c>
      <c r="L316" t="s">
        <v>25</v>
      </c>
      <c r="M316" t="s">
        <v>15</v>
      </c>
    </row>
    <row r="317" spans="1:13" x14ac:dyDescent="0.15">
      <c r="A317">
        <v>5137191</v>
      </c>
      <c r="B317" t="s">
        <v>959</v>
      </c>
      <c r="C317" s="1">
        <v>41478</v>
      </c>
      <c r="D317">
        <v>5</v>
      </c>
      <c r="F317" t="s">
        <v>960</v>
      </c>
      <c r="G317" t="s">
        <v>304</v>
      </c>
      <c r="H317" t="s">
        <v>18</v>
      </c>
      <c r="I317" t="s">
        <v>961</v>
      </c>
      <c r="J317" t="str">
        <f>"9781292023045"</f>
        <v>9781292023045</v>
      </c>
      <c r="K317" t="str">
        <f>"9781292036229"</f>
        <v>9781292036229</v>
      </c>
      <c r="L317" t="s">
        <v>25</v>
      </c>
      <c r="M317" t="s">
        <v>15</v>
      </c>
    </row>
    <row r="318" spans="1:13" x14ac:dyDescent="0.15">
      <c r="A318">
        <v>5137193</v>
      </c>
      <c r="B318" t="s">
        <v>962</v>
      </c>
      <c r="C318" s="1">
        <v>41478</v>
      </c>
      <c r="D318">
        <v>8</v>
      </c>
      <c r="F318" t="s">
        <v>963</v>
      </c>
      <c r="G318" t="s">
        <v>304</v>
      </c>
      <c r="H318" t="s">
        <v>18</v>
      </c>
      <c r="I318" t="s">
        <v>964</v>
      </c>
      <c r="J318" t="str">
        <f>"9781292021164"</f>
        <v>9781292021164</v>
      </c>
      <c r="K318" t="str">
        <f>"9781292034393"</f>
        <v>9781292034393</v>
      </c>
      <c r="L318" t="s">
        <v>25</v>
      </c>
      <c r="M318" t="s">
        <v>15</v>
      </c>
    </row>
    <row r="319" spans="1:13" x14ac:dyDescent="0.15">
      <c r="A319">
        <v>5137195</v>
      </c>
      <c r="B319" t="s">
        <v>965</v>
      </c>
      <c r="C319" s="1">
        <v>41547</v>
      </c>
      <c r="D319">
        <v>2</v>
      </c>
      <c r="F319" t="s">
        <v>966</v>
      </c>
      <c r="G319" t="s">
        <v>189</v>
      </c>
      <c r="H319" t="s">
        <v>18</v>
      </c>
      <c r="I319" t="s">
        <v>967</v>
      </c>
      <c r="J319" t="str">
        <f>"9781292027661"</f>
        <v>9781292027661</v>
      </c>
      <c r="K319" t="str">
        <f>"9781292051741"</f>
        <v>9781292051741</v>
      </c>
      <c r="L319" t="s">
        <v>25</v>
      </c>
      <c r="M319" t="s">
        <v>15</v>
      </c>
    </row>
    <row r="320" spans="1:13" x14ac:dyDescent="0.15">
      <c r="A320">
        <v>5137196</v>
      </c>
      <c r="B320" t="s">
        <v>968</v>
      </c>
      <c r="C320" s="1">
        <v>41478</v>
      </c>
      <c r="D320">
        <v>5</v>
      </c>
      <c r="F320" t="s">
        <v>969</v>
      </c>
      <c r="G320" t="s">
        <v>65</v>
      </c>
      <c r="H320" t="s">
        <v>18</v>
      </c>
      <c r="I320" t="s">
        <v>970</v>
      </c>
      <c r="J320" t="str">
        <f>"9781292021478"</f>
        <v>9781292021478</v>
      </c>
      <c r="K320" t="str">
        <f>"9781292034706"</f>
        <v>9781292034706</v>
      </c>
      <c r="L320" t="s">
        <v>25</v>
      </c>
      <c r="M320" t="s">
        <v>15</v>
      </c>
    </row>
    <row r="321" spans="1:13" x14ac:dyDescent="0.15">
      <c r="A321">
        <v>5137199</v>
      </c>
      <c r="B321" t="s">
        <v>971</v>
      </c>
      <c r="C321" s="1">
        <v>40567</v>
      </c>
      <c r="D321">
        <v>3</v>
      </c>
      <c r="F321" t="s">
        <v>972</v>
      </c>
      <c r="H321" t="s">
        <v>18</v>
      </c>
      <c r="I321" t="s">
        <v>973</v>
      </c>
      <c r="J321" t="str">
        <f>"9780133545524"</f>
        <v>9780133545524</v>
      </c>
      <c r="K321" t="str">
        <f>"9780273740810"</f>
        <v>9780273740810</v>
      </c>
      <c r="L321" t="s">
        <v>25</v>
      </c>
      <c r="M321" t="s">
        <v>30</v>
      </c>
    </row>
    <row r="322" spans="1:13" x14ac:dyDescent="0.15">
      <c r="A322">
        <v>5137201</v>
      </c>
      <c r="B322" t="s">
        <v>974</v>
      </c>
      <c r="C322" s="1">
        <v>40695</v>
      </c>
      <c r="D322">
        <v>1</v>
      </c>
      <c r="F322" t="s">
        <v>975</v>
      </c>
      <c r="G322" t="s">
        <v>976</v>
      </c>
      <c r="H322" t="s">
        <v>18</v>
      </c>
      <c r="I322" t="s">
        <v>977</v>
      </c>
      <c r="J322" t="str">
        <f>"9781408223093"</f>
        <v>9781408223093</v>
      </c>
      <c r="K322" t="str">
        <f>"9781408223109"</f>
        <v>9781408223109</v>
      </c>
      <c r="L322" t="s">
        <v>25</v>
      </c>
      <c r="M322" t="s">
        <v>112</v>
      </c>
    </row>
    <row r="323" spans="1:13" x14ac:dyDescent="0.15">
      <c r="A323">
        <v>5137210</v>
      </c>
      <c r="B323" t="s">
        <v>290</v>
      </c>
      <c r="C323" s="1">
        <v>41515</v>
      </c>
      <c r="D323">
        <v>10</v>
      </c>
      <c r="F323" t="s">
        <v>978</v>
      </c>
      <c r="H323" t="s">
        <v>18</v>
      </c>
      <c r="I323" t="s">
        <v>979</v>
      </c>
      <c r="J323" t="str">
        <f>"9781292026312"</f>
        <v>9781292026312</v>
      </c>
      <c r="K323" t="str">
        <f>"9781292038704"</f>
        <v>9781292038704</v>
      </c>
      <c r="L323" t="s">
        <v>25</v>
      </c>
      <c r="M323" t="s">
        <v>15</v>
      </c>
    </row>
    <row r="324" spans="1:13" x14ac:dyDescent="0.15">
      <c r="A324">
        <v>5137223</v>
      </c>
      <c r="B324" t="s">
        <v>980</v>
      </c>
      <c r="C324" s="1">
        <v>41550</v>
      </c>
      <c r="D324">
        <v>2</v>
      </c>
      <c r="F324" t="s">
        <v>981</v>
      </c>
      <c r="H324" t="s">
        <v>18</v>
      </c>
      <c r="I324" t="s">
        <v>982</v>
      </c>
      <c r="J324" t="str">
        <f>"9781292039060"</f>
        <v>9781292039060</v>
      </c>
      <c r="K324" t="str">
        <f>"9781292051802"</f>
        <v>9781292051802</v>
      </c>
      <c r="L324" t="s">
        <v>25</v>
      </c>
      <c r="M324" t="s">
        <v>15</v>
      </c>
    </row>
    <row r="325" spans="1:13" x14ac:dyDescent="0.15">
      <c r="A325">
        <v>5137236</v>
      </c>
      <c r="B325" t="s">
        <v>983</v>
      </c>
      <c r="C325" s="1">
        <v>41472</v>
      </c>
      <c r="D325">
        <v>5</v>
      </c>
      <c r="F325" t="s">
        <v>984</v>
      </c>
      <c r="G325" t="s">
        <v>478</v>
      </c>
      <c r="H325" t="s">
        <v>18</v>
      </c>
      <c r="I325" t="s">
        <v>985</v>
      </c>
      <c r="J325" t="str">
        <f>"9781292024370"</f>
        <v>9781292024370</v>
      </c>
      <c r="K325" t="str">
        <f>"9781292037264"</f>
        <v>9781292037264</v>
      </c>
      <c r="L325" t="s">
        <v>25</v>
      </c>
      <c r="M325" t="s">
        <v>15</v>
      </c>
    </row>
    <row r="326" spans="1:13" x14ac:dyDescent="0.15">
      <c r="A326">
        <v>5137237</v>
      </c>
      <c r="B326" t="s">
        <v>986</v>
      </c>
      <c r="C326" s="1">
        <v>41128</v>
      </c>
      <c r="D326">
        <v>1</v>
      </c>
      <c r="F326" t="s">
        <v>987</v>
      </c>
      <c r="H326" t="s">
        <v>18</v>
      </c>
      <c r="I326" t="s">
        <v>988</v>
      </c>
      <c r="J326" t="str">
        <f>""</f>
        <v/>
      </c>
      <c r="K326" t="str">
        <f>"9780273772279"</f>
        <v>9780273772279</v>
      </c>
      <c r="L326" t="s">
        <v>25</v>
      </c>
      <c r="M326" t="s">
        <v>51</v>
      </c>
    </row>
    <row r="327" spans="1:13" x14ac:dyDescent="0.15">
      <c r="A327">
        <v>5137240</v>
      </c>
      <c r="B327" t="s">
        <v>989</v>
      </c>
      <c r="C327" s="1">
        <v>41478</v>
      </c>
      <c r="D327">
        <v>5</v>
      </c>
      <c r="F327" t="s">
        <v>990</v>
      </c>
      <c r="G327" t="s">
        <v>304</v>
      </c>
      <c r="H327" t="s">
        <v>18</v>
      </c>
      <c r="I327" t="s">
        <v>991</v>
      </c>
      <c r="J327" t="str">
        <f>"9781292022895"</f>
        <v>9781292022895</v>
      </c>
      <c r="K327" t="str">
        <f>"9781292036076"</f>
        <v>9781292036076</v>
      </c>
      <c r="L327" t="s">
        <v>25</v>
      </c>
      <c r="M327" t="s">
        <v>15</v>
      </c>
    </row>
    <row r="328" spans="1:13" x14ac:dyDescent="0.15">
      <c r="A328">
        <v>5137245</v>
      </c>
      <c r="B328" t="s">
        <v>992</v>
      </c>
      <c r="C328" s="1">
        <v>38890</v>
      </c>
      <c r="D328">
        <v>11</v>
      </c>
      <c r="F328" t="s">
        <v>993</v>
      </c>
      <c r="G328" t="s">
        <v>994</v>
      </c>
      <c r="H328" t="s">
        <v>18</v>
      </c>
      <c r="I328" t="s">
        <v>995</v>
      </c>
      <c r="J328" t="str">
        <f>"9781405823593"</f>
        <v>9781405823593</v>
      </c>
      <c r="K328" t="str">
        <f>"9781405891035"</f>
        <v>9781405891035</v>
      </c>
      <c r="L328" t="s">
        <v>25</v>
      </c>
      <c r="M328" t="s">
        <v>112</v>
      </c>
    </row>
    <row r="329" spans="1:13" x14ac:dyDescent="0.15">
      <c r="A329">
        <v>5137247</v>
      </c>
      <c r="B329" t="s">
        <v>996</v>
      </c>
      <c r="C329" s="1">
        <v>41579</v>
      </c>
      <c r="D329">
        <v>12</v>
      </c>
      <c r="F329" t="s">
        <v>997</v>
      </c>
      <c r="G329" t="s">
        <v>946</v>
      </c>
      <c r="H329" t="s">
        <v>18</v>
      </c>
      <c r="I329" t="s">
        <v>998</v>
      </c>
      <c r="J329" t="str">
        <f>"9781292040912"</f>
        <v>9781292040912</v>
      </c>
      <c r="K329" t="str">
        <f>"9781292056449"</f>
        <v>9781292056449</v>
      </c>
      <c r="L329" t="s">
        <v>25</v>
      </c>
      <c r="M329" t="s">
        <v>15</v>
      </c>
    </row>
    <row r="330" spans="1:13" x14ac:dyDescent="0.15">
      <c r="A330">
        <v>5137251</v>
      </c>
      <c r="B330" t="s">
        <v>999</v>
      </c>
      <c r="C330" s="1">
        <v>41488</v>
      </c>
      <c r="D330">
        <v>4</v>
      </c>
      <c r="F330" t="s">
        <v>1000</v>
      </c>
      <c r="G330" t="s">
        <v>36</v>
      </c>
      <c r="H330" t="s">
        <v>18</v>
      </c>
      <c r="I330" t="s">
        <v>1001</v>
      </c>
      <c r="J330" t="str">
        <f>"9781292021454"</f>
        <v>9781292021454</v>
      </c>
      <c r="K330" t="str">
        <f>"9781292034683"</f>
        <v>9781292034683</v>
      </c>
      <c r="L330" t="s">
        <v>25</v>
      </c>
      <c r="M330" t="s">
        <v>15</v>
      </c>
    </row>
    <row r="331" spans="1:13" x14ac:dyDescent="0.15">
      <c r="A331">
        <v>5137254</v>
      </c>
      <c r="B331" t="s">
        <v>962</v>
      </c>
      <c r="C331" s="1">
        <v>41513</v>
      </c>
      <c r="D331">
        <v>13</v>
      </c>
      <c r="F331" t="s">
        <v>1002</v>
      </c>
      <c r="H331" t="s">
        <v>18</v>
      </c>
      <c r="I331" t="s">
        <v>1003</v>
      </c>
      <c r="J331" t="str">
        <f>"9781292021447"</f>
        <v>9781292021447</v>
      </c>
      <c r="K331" t="str">
        <f>"9781292034676"</f>
        <v>9781292034676</v>
      </c>
      <c r="L331" t="s">
        <v>25</v>
      </c>
      <c r="M331" t="s">
        <v>15</v>
      </c>
    </row>
    <row r="332" spans="1:13" x14ac:dyDescent="0.15">
      <c r="A332">
        <v>5137259</v>
      </c>
      <c r="B332" t="s">
        <v>1004</v>
      </c>
      <c r="C332" s="1">
        <v>41241</v>
      </c>
      <c r="D332">
        <v>6</v>
      </c>
      <c r="F332" t="s">
        <v>1005</v>
      </c>
      <c r="G332" t="s">
        <v>1006</v>
      </c>
      <c r="H332" t="s">
        <v>18</v>
      </c>
      <c r="I332" t="s">
        <v>1007</v>
      </c>
      <c r="J332" t="str">
        <f>"9780273764328"</f>
        <v>9780273764328</v>
      </c>
      <c r="K332" t="str">
        <f>"9780273764335"</f>
        <v>9780273764335</v>
      </c>
      <c r="L332" t="s">
        <v>25</v>
      </c>
      <c r="M332" t="s">
        <v>15</v>
      </c>
    </row>
    <row r="333" spans="1:13" x14ac:dyDescent="0.15">
      <c r="A333">
        <v>5137260</v>
      </c>
      <c r="B333" t="s">
        <v>1008</v>
      </c>
      <c r="C333" s="1">
        <v>41514</v>
      </c>
      <c r="D333">
        <v>10</v>
      </c>
      <c r="F333" t="s">
        <v>1009</v>
      </c>
      <c r="H333" t="s">
        <v>18</v>
      </c>
      <c r="I333" t="s">
        <v>1010</v>
      </c>
      <c r="J333" t="str">
        <f>"9781292022956"</f>
        <v>9781292022956</v>
      </c>
      <c r="K333" t="str">
        <f>"9781292036137"</f>
        <v>9781292036137</v>
      </c>
      <c r="L333" t="s">
        <v>25</v>
      </c>
      <c r="M333" t="s">
        <v>15</v>
      </c>
    </row>
    <row r="334" spans="1:13" x14ac:dyDescent="0.15">
      <c r="A334">
        <v>5137263</v>
      </c>
      <c r="B334" t="s">
        <v>1011</v>
      </c>
      <c r="C334" s="1">
        <v>41480</v>
      </c>
      <c r="D334">
        <v>4</v>
      </c>
      <c r="F334" t="s">
        <v>285</v>
      </c>
      <c r="G334" t="s">
        <v>408</v>
      </c>
      <c r="H334" t="s">
        <v>18</v>
      </c>
      <c r="I334" t="s">
        <v>1012</v>
      </c>
      <c r="J334" t="str">
        <f>"9781292023311"</f>
        <v>9781292023311</v>
      </c>
      <c r="K334" t="str">
        <f>"9781292036489"</f>
        <v>9781292036489</v>
      </c>
      <c r="L334" t="s">
        <v>25</v>
      </c>
      <c r="M334" t="s">
        <v>15</v>
      </c>
    </row>
    <row r="335" spans="1:13" x14ac:dyDescent="0.15">
      <c r="A335">
        <v>5137266</v>
      </c>
      <c r="B335" t="s">
        <v>1013</v>
      </c>
      <c r="C335" s="1">
        <v>41579</v>
      </c>
      <c r="D335">
        <v>4</v>
      </c>
      <c r="F335" t="s">
        <v>1014</v>
      </c>
      <c r="G335" t="s">
        <v>408</v>
      </c>
      <c r="H335" t="s">
        <v>18</v>
      </c>
      <c r="I335" t="s">
        <v>1015</v>
      </c>
      <c r="J335" t="str">
        <f>"9781292041636"</f>
        <v>9781292041636</v>
      </c>
      <c r="K335" t="str">
        <f>"9781292051840"</f>
        <v>9781292051840</v>
      </c>
      <c r="L335" t="s">
        <v>25</v>
      </c>
      <c r="M335" t="s">
        <v>15</v>
      </c>
    </row>
    <row r="336" spans="1:13" x14ac:dyDescent="0.15">
      <c r="A336">
        <v>5137271</v>
      </c>
      <c r="B336" t="s">
        <v>1016</v>
      </c>
      <c r="C336" s="1">
        <v>41550</v>
      </c>
      <c r="D336">
        <v>2</v>
      </c>
      <c r="F336" t="s">
        <v>1017</v>
      </c>
      <c r="H336" t="s">
        <v>18</v>
      </c>
      <c r="I336" t="s">
        <v>1018</v>
      </c>
      <c r="J336" t="str">
        <f>"9781292041964"</f>
        <v>9781292041964</v>
      </c>
      <c r="K336" t="str">
        <f>"9781292051864"</f>
        <v>9781292051864</v>
      </c>
      <c r="L336" t="s">
        <v>25</v>
      </c>
      <c r="M336" t="s">
        <v>15</v>
      </c>
    </row>
    <row r="337" spans="1:13" x14ac:dyDescent="0.15">
      <c r="A337">
        <v>5137275</v>
      </c>
      <c r="B337" t="s">
        <v>1019</v>
      </c>
      <c r="C337" s="1">
        <v>41537</v>
      </c>
      <c r="D337">
        <v>3</v>
      </c>
      <c r="F337" t="s">
        <v>1020</v>
      </c>
      <c r="G337" t="s">
        <v>408</v>
      </c>
      <c r="H337" t="s">
        <v>18</v>
      </c>
      <c r="I337" t="s">
        <v>1021</v>
      </c>
      <c r="J337" t="str">
        <f>"9781292021867"</f>
        <v>9781292021867</v>
      </c>
      <c r="K337" t="str">
        <f>"9781292035079"</f>
        <v>9781292035079</v>
      </c>
      <c r="L337" t="s">
        <v>25</v>
      </c>
      <c r="M337" t="s">
        <v>15</v>
      </c>
    </row>
    <row r="338" spans="1:13" x14ac:dyDescent="0.15">
      <c r="A338">
        <v>5137277</v>
      </c>
      <c r="B338" t="s">
        <v>1022</v>
      </c>
      <c r="C338" s="1">
        <v>41579</v>
      </c>
      <c r="D338">
        <v>8</v>
      </c>
      <c r="F338" t="s">
        <v>1023</v>
      </c>
      <c r="G338" t="s">
        <v>408</v>
      </c>
      <c r="H338" t="s">
        <v>18</v>
      </c>
      <c r="I338" t="s">
        <v>1024</v>
      </c>
      <c r="J338" t="str">
        <f>"9781292041988"</f>
        <v>9781292041988</v>
      </c>
      <c r="K338" t="str">
        <f>"9781292051871"</f>
        <v>9781292051871</v>
      </c>
      <c r="L338" t="s">
        <v>25</v>
      </c>
      <c r="M338" t="s">
        <v>15</v>
      </c>
    </row>
    <row r="339" spans="1:13" x14ac:dyDescent="0.15">
      <c r="A339">
        <v>5137278</v>
      </c>
      <c r="B339" t="s">
        <v>1025</v>
      </c>
      <c r="C339" s="1">
        <v>41353</v>
      </c>
      <c r="D339">
        <v>5</v>
      </c>
      <c r="F339" t="s">
        <v>1026</v>
      </c>
      <c r="H339" t="s">
        <v>18</v>
      </c>
      <c r="I339" t="s">
        <v>1027</v>
      </c>
      <c r="J339" t="str">
        <f>""</f>
        <v/>
      </c>
      <c r="K339" t="str">
        <f>"9780273774280"</f>
        <v>9780273774280</v>
      </c>
      <c r="L339" t="s">
        <v>25</v>
      </c>
      <c r="M339" t="s">
        <v>15</v>
      </c>
    </row>
    <row r="340" spans="1:13" x14ac:dyDescent="0.15">
      <c r="A340">
        <v>5137279</v>
      </c>
      <c r="B340" t="s">
        <v>1028</v>
      </c>
      <c r="C340" s="1">
        <v>41478</v>
      </c>
      <c r="D340">
        <v>13</v>
      </c>
      <c r="F340" t="s">
        <v>1029</v>
      </c>
      <c r="G340" t="s">
        <v>65</v>
      </c>
      <c r="H340" t="s">
        <v>18</v>
      </c>
      <c r="I340" t="s">
        <v>1030</v>
      </c>
      <c r="J340" t="str">
        <f>"9781292020808"</f>
        <v>9781292020808</v>
      </c>
      <c r="K340" t="str">
        <f>"9781292034058"</f>
        <v>9781292034058</v>
      </c>
      <c r="L340" t="s">
        <v>25</v>
      </c>
      <c r="M340" t="s">
        <v>15</v>
      </c>
    </row>
    <row r="341" spans="1:13" x14ac:dyDescent="0.15">
      <c r="A341">
        <v>5137280</v>
      </c>
      <c r="B341" t="s">
        <v>1031</v>
      </c>
      <c r="C341" s="1">
        <v>41515</v>
      </c>
      <c r="D341">
        <v>8</v>
      </c>
      <c r="F341" t="s">
        <v>1032</v>
      </c>
      <c r="H341" t="s">
        <v>18</v>
      </c>
      <c r="I341" t="s">
        <v>1033</v>
      </c>
      <c r="J341" t="str">
        <f>"9781292025247"</f>
        <v>9781292025247</v>
      </c>
      <c r="K341" t="str">
        <f>"9781292037813"</f>
        <v>9781292037813</v>
      </c>
      <c r="L341" t="s">
        <v>25</v>
      </c>
      <c r="M341" t="s">
        <v>15</v>
      </c>
    </row>
    <row r="342" spans="1:13" x14ac:dyDescent="0.15">
      <c r="A342">
        <v>5137283</v>
      </c>
      <c r="B342" t="s">
        <v>1034</v>
      </c>
      <c r="C342" s="1">
        <v>41579</v>
      </c>
      <c r="D342">
        <v>7</v>
      </c>
      <c r="F342" t="s">
        <v>1035</v>
      </c>
      <c r="G342" t="s">
        <v>304</v>
      </c>
      <c r="H342" t="s">
        <v>18</v>
      </c>
      <c r="I342" t="s">
        <v>1036</v>
      </c>
      <c r="J342" t="str">
        <f>"9781292040318"</f>
        <v>9781292040318</v>
      </c>
      <c r="K342" t="str">
        <f>"9781292051888"</f>
        <v>9781292051888</v>
      </c>
      <c r="L342" t="s">
        <v>25</v>
      </c>
      <c r="M342" t="s">
        <v>15</v>
      </c>
    </row>
    <row r="343" spans="1:13" x14ac:dyDescent="0.15">
      <c r="A343">
        <v>5137289</v>
      </c>
      <c r="B343" t="s">
        <v>1037</v>
      </c>
      <c r="C343" s="1">
        <v>41579</v>
      </c>
      <c r="D343">
        <v>4</v>
      </c>
      <c r="F343" t="s">
        <v>1038</v>
      </c>
      <c r="G343" t="s">
        <v>189</v>
      </c>
      <c r="H343" t="s">
        <v>18</v>
      </c>
      <c r="I343" t="s">
        <v>1039</v>
      </c>
      <c r="J343" t="str">
        <f>"9781292040202"</f>
        <v>9781292040202</v>
      </c>
      <c r="K343" t="str">
        <f>"9781292051901"</f>
        <v>9781292051901</v>
      </c>
      <c r="L343" t="s">
        <v>25</v>
      </c>
      <c r="M343" t="s">
        <v>15</v>
      </c>
    </row>
    <row r="344" spans="1:13" x14ac:dyDescent="0.15">
      <c r="A344">
        <v>5137290</v>
      </c>
      <c r="B344" t="s">
        <v>420</v>
      </c>
      <c r="C344" s="1">
        <v>41514</v>
      </c>
      <c r="D344">
        <v>4</v>
      </c>
      <c r="F344" t="s">
        <v>1040</v>
      </c>
      <c r="H344" t="s">
        <v>18</v>
      </c>
      <c r="I344" t="s">
        <v>1041</v>
      </c>
      <c r="J344" t="str">
        <f>"9781292023649"</f>
        <v>9781292023649</v>
      </c>
      <c r="K344" t="str">
        <f>"9781292036793"</f>
        <v>9781292036793</v>
      </c>
      <c r="L344" t="s">
        <v>25</v>
      </c>
      <c r="M344" t="s">
        <v>15</v>
      </c>
    </row>
    <row r="345" spans="1:13" x14ac:dyDescent="0.15">
      <c r="A345">
        <v>5137291</v>
      </c>
      <c r="B345" t="s">
        <v>1042</v>
      </c>
      <c r="C345" s="1">
        <v>41493</v>
      </c>
      <c r="D345">
        <v>4</v>
      </c>
      <c r="F345" t="s">
        <v>1043</v>
      </c>
      <c r="G345" t="s">
        <v>189</v>
      </c>
      <c r="H345" t="s">
        <v>18</v>
      </c>
      <c r="I345" t="s">
        <v>1044</v>
      </c>
      <c r="J345" t="str">
        <f>"9781292024882"</f>
        <v>9781292024882</v>
      </c>
      <c r="K345" t="str">
        <f>"9781292037523"</f>
        <v>9781292037523</v>
      </c>
      <c r="L345" t="s">
        <v>25</v>
      </c>
      <c r="M345" t="s">
        <v>15</v>
      </c>
    </row>
    <row r="346" spans="1:13" x14ac:dyDescent="0.15">
      <c r="A346">
        <v>5137302</v>
      </c>
      <c r="B346" t="s">
        <v>1045</v>
      </c>
      <c r="C346" s="1">
        <v>41478</v>
      </c>
      <c r="D346">
        <v>2</v>
      </c>
      <c r="F346" t="s">
        <v>1046</v>
      </c>
      <c r="G346" t="s">
        <v>304</v>
      </c>
      <c r="H346" t="s">
        <v>18</v>
      </c>
      <c r="I346" t="s">
        <v>1047</v>
      </c>
      <c r="J346" t="str">
        <f>"9781292020440"</f>
        <v>9781292020440</v>
      </c>
      <c r="K346" t="str">
        <f>"9781292033754"</f>
        <v>9781292033754</v>
      </c>
      <c r="L346" t="s">
        <v>25</v>
      </c>
      <c r="M346" t="s">
        <v>15</v>
      </c>
    </row>
    <row r="347" spans="1:13" x14ac:dyDescent="0.15">
      <c r="A347">
        <v>5137311</v>
      </c>
      <c r="B347" t="s">
        <v>1048</v>
      </c>
      <c r="C347" s="1">
        <v>41579</v>
      </c>
      <c r="D347">
        <v>4</v>
      </c>
      <c r="F347" t="s">
        <v>1049</v>
      </c>
      <c r="G347" t="s">
        <v>1050</v>
      </c>
      <c r="H347" t="s">
        <v>18</v>
      </c>
      <c r="I347" t="s">
        <v>1051</v>
      </c>
      <c r="J347" t="str">
        <f>"9781292042442"</f>
        <v>9781292042442</v>
      </c>
      <c r="K347" t="str">
        <f>"9781292051925"</f>
        <v>9781292051925</v>
      </c>
      <c r="L347" t="s">
        <v>25</v>
      </c>
      <c r="M347" t="s">
        <v>15</v>
      </c>
    </row>
    <row r="348" spans="1:13" x14ac:dyDescent="0.15">
      <c r="A348">
        <v>5137314</v>
      </c>
      <c r="B348" t="s">
        <v>1052</v>
      </c>
      <c r="C348" s="1">
        <v>41484</v>
      </c>
      <c r="D348">
        <v>8</v>
      </c>
      <c r="F348" t="s">
        <v>1053</v>
      </c>
      <c r="G348" t="s">
        <v>304</v>
      </c>
      <c r="H348" t="s">
        <v>18</v>
      </c>
      <c r="I348" t="s">
        <v>1054</v>
      </c>
      <c r="J348" t="str">
        <f>"9781292022499"</f>
        <v>9781292022499</v>
      </c>
      <c r="K348" t="str">
        <f>"9781292035697"</f>
        <v>9781292035697</v>
      </c>
      <c r="L348" t="s">
        <v>25</v>
      </c>
      <c r="M348" t="s">
        <v>15</v>
      </c>
    </row>
    <row r="349" spans="1:13" x14ac:dyDescent="0.15">
      <c r="A349">
        <v>5137315</v>
      </c>
      <c r="B349" t="s">
        <v>1055</v>
      </c>
      <c r="C349" s="1">
        <v>41579</v>
      </c>
      <c r="D349">
        <v>8</v>
      </c>
      <c r="F349" t="s">
        <v>1056</v>
      </c>
      <c r="G349" t="s">
        <v>27</v>
      </c>
      <c r="H349" t="s">
        <v>18</v>
      </c>
      <c r="I349" t="s">
        <v>1057</v>
      </c>
      <c r="J349" t="str">
        <f>"9781292042008"</f>
        <v>9781292042008</v>
      </c>
      <c r="K349" t="str">
        <f>"9781292051932"</f>
        <v>9781292051932</v>
      </c>
      <c r="L349" t="s">
        <v>25</v>
      </c>
      <c r="M349" t="s">
        <v>15</v>
      </c>
    </row>
    <row r="350" spans="1:13" x14ac:dyDescent="0.15">
      <c r="A350">
        <v>5137318</v>
      </c>
      <c r="B350" t="s">
        <v>1058</v>
      </c>
      <c r="C350" s="1">
        <v>41584</v>
      </c>
      <c r="D350">
        <v>3</v>
      </c>
      <c r="F350" t="s">
        <v>1059</v>
      </c>
      <c r="H350" t="s">
        <v>18</v>
      </c>
      <c r="I350" t="s">
        <v>1060</v>
      </c>
      <c r="J350" t="str">
        <f>""</f>
        <v/>
      </c>
      <c r="K350" t="str">
        <f>"9780273792062"</f>
        <v>9780273792062</v>
      </c>
      <c r="L350" t="s">
        <v>25</v>
      </c>
      <c r="M350" t="s">
        <v>15</v>
      </c>
    </row>
    <row r="351" spans="1:13" x14ac:dyDescent="0.15">
      <c r="A351">
        <v>5137323</v>
      </c>
      <c r="B351" t="s">
        <v>1061</v>
      </c>
      <c r="C351" s="1">
        <v>41584</v>
      </c>
      <c r="D351">
        <v>12</v>
      </c>
      <c r="F351" t="s">
        <v>1062</v>
      </c>
      <c r="H351" t="s">
        <v>18</v>
      </c>
      <c r="I351" t="s">
        <v>1063</v>
      </c>
      <c r="J351" t="str">
        <f>""</f>
        <v/>
      </c>
      <c r="K351" t="str">
        <f>"9780273775652"</f>
        <v>9780273775652</v>
      </c>
      <c r="L351" t="s">
        <v>25</v>
      </c>
      <c r="M351" t="s">
        <v>15</v>
      </c>
    </row>
    <row r="352" spans="1:13" x14ac:dyDescent="0.15">
      <c r="A352">
        <v>5137325</v>
      </c>
      <c r="B352" t="s">
        <v>1064</v>
      </c>
      <c r="C352" s="1">
        <v>41579</v>
      </c>
      <c r="D352">
        <v>5</v>
      </c>
      <c r="F352" t="s">
        <v>1065</v>
      </c>
      <c r="G352" t="s">
        <v>1066</v>
      </c>
      <c r="H352" t="s">
        <v>18</v>
      </c>
      <c r="I352" t="s">
        <v>1067</v>
      </c>
      <c r="J352" t="str">
        <f>"9781292042077"</f>
        <v>9781292042077</v>
      </c>
      <c r="K352" t="str">
        <f>"9781292051956"</f>
        <v>9781292051956</v>
      </c>
      <c r="L352" t="s">
        <v>25</v>
      </c>
      <c r="M352" t="s">
        <v>15</v>
      </c>
    </row>
    <row r="353" spans="1:13" x14ac:dyDescent="0.15">
      <c r="A353">
        <v>5137327</v>
      </c>
      <c r="B353" t="s">
        <v>1068</v>
      </c>
      <c r="C353" s="1">
        <v>41579</v>
      </c>
      <c r="D353">
        <v>10</v>
      </c>
      <c r="F353" t="s">
        <v>1069</v>
      </c>
      <c r="G353" t="s">
        <v>27</v>
      </c>
      <c r="H353" t="s">
        <v>18</v>
      </c>
      <c r="I353" t="s">
        <v>1070</v>
      </c>
      <c r="J353" t="str">
        <f>"9781292041971"</f>
        <v>9781292041971</v>
      </c>
      <c r="K353" t="str">
        <f>"9781292051963"</f>
        <v>9781292051963</v>
      </c>
      <c r="L353" t="s">
        <v>25</v>
      </c>
      <c r="M353" t="s">
        <v>15</v>
      </c>
    </row>
    <row r="354" spans="1:13" x14ac:dyDescent="0.15">
      <c r="A354">
        <v>5137332</v>
      </c>
      <c r="B354" t="s">
        <v>1071</v>
      </c>
      <c r="C354" s="1">
        <v>41030</v>
      </c>
      <c r="D354">
        <v>1</v>
      </c>
      <c r="F354" t="s">
        <v>1072</v>
      </c>
      <c r="G354" t="s">
        <v>36</v>
      </c>
      <c r="H354" t="s">
        <v>18</v>
      </c>
      <c r="I354" t="s">
        <v>1073</v>
      </c>
      <c r="J354" t="str">
        <f>"9780273737551"</f>
        <v>9780273737551</v>
      </c>
      <c r="K354" t="str">
        <f>"9780273737568"</f>
        <v>9780273737568</v>
      </c>
      <c r="L354" t="s">
        <v>25</v>
      </c>
      <c r="M354" t="s">
        <v>15</v>
      </c>
    </row>
    <row r="355" spans="1:13" x14ac:dyDescent="0.15">
      <c r="A355">
        <v>5137333</v>
      </c>
      <c r="B355" t="s">
        <v>1074</v>
      </c>
      <c r="C355" s="1">
        <v>41515</v>
      </c>
      <c r="D355">
        <v>11</v>
      </c>
      <c r="F355" t="s">
        <v>1075</v>
      </c>
      <c r="G355" t="s">
        <v>27</v>
      </c>
      <c r="H355" t="s">
        <v>18</v>
      </c>
      <c r="I355" t="s">
        <v>1076</v>
      </c>
      <c r="J355" t="str">
        <f>"9781292025094"</f>
        <v>9781292025094</v>
      </c>
      <c r="K355" t="str">
        <f>"9781292037691"</f>
        <v>9781292037691</v>
      </c>
      <c r="L355" t="s">
        <v>25</v>
      </c>
      <c r="M355" t="s">
        <v>15</v>
      </c>
    </row>
    <row r="356" spans="1:13" x14ac:dyDescent="0.15">
      <c r="A356">
        <v>5137339</v>
      </c>
      <c r="B356" t="s">
        <v>1077</v>
      </c>
      <c r="C356" s="1">
        <v>41579</v>
      </c>
      <c r="D356">
        <v>8</v>
      </c>
      <c r="F356" t="s">
        <v>1078</v>
      </c>
      <c r="G356" t="s">
        <v>189</v>
      </c>
      <c r="H356" t="s">
        <v>18</v>
      </c>
      <c r="I356" t="s">
        <v>1079</v>
      </c>
      <c r="J356" t="str">
        <f>"9781292040165"</f>
        <v>9781292040165</v>
      </c>
      <c r="K356" t="str">
        <f>"9781292051970"</f>
        <v>9781292051970</v>
      </c>
      <c r="L356" t="s">
        <v>25</v>
      </c>
      <c r="M356" t="s">
        <v>15</v>
      </c>
    </row>
    <row r="357" spans="1:13" x14ac:dyDescent="0.15">
      <c r="A357">
        <v>5137341</v>
      </c>
      <c r="B357" t="s">
        <v>1080</v>
      </c>
      <c r="C357" s="1">
        <v>41514</v>
      </c>
      <c r="D357">
        <v>7</v>
      </c>
      <c r="F357" t="s">
        <v>1081</v>
      </c>
      <c r="H357" t="s">
        <v>18</v>
      </c>
      <c r="I357" t="s">
        <v>1082</v>
      </c>
      <c r="J357" t="str">
        <f>"9781292022666"</f>
        <v>9781292022666</v>
      </c>
      <c r="K357" t="str">
        <f>"9781292035864"</f>
        <v>9781292035864</v>
      </c>
      <c r="L357" t="s">
        <v>25</v>
      </c>
      <c r="M357" t="s">
        <v>15</v>
      </c>
    </row>
    <row r="358" spans="1:13" x14ac:dyDescent="0.15">
      <c r="A358">
        <v>5137346</v>
      </c>
      <c r="B358" t="s">
        <v>1083</v>
      </c>
      <c r="C358" s="1">
        <v>41579</v>
      </c>
      <c r="D358">
        <v>6</v>
      </c>
      <c r="F358" t="s">
        <v>1084</v>
      </c>
      <c r="G358" t="s">
        <v>36</v>
      </c>
      <c r="H358" t="s">
        <v>18</v>
      </c>
      <c r="I358" t="s">
        <v>1085</v>
      </c>
      <c r="J358" t="str">
        <f>"9781292027135"</f>
        <v>9781292027135</v>
      </c>
      <c r="K358" t="str">
        <f>"9781292051994"</f>
        <v>9781292051994</v>
      </c>
      <c r="L358" t="s">
        <v>25</v>
      </c>
      <c r="M358" t="s">
        <v>15</v>
      </c>
    </row>
    <row r="359" spans="1:13" x14ac:dyDescent="0.15">
      <c r="A359">
        <v>5137347</v>
      </c>
      <c r="B359" t="s">
        <v>1086</v>
      </c>
      <c r="C359" s="1">
        <v>41472</v>
      </c>
      <c r="D359">
        <v>5</v>
      </c>
      <c r="F359" t="s">
        <v>1087</v>
      </c>
      <c r="G359" t="s">
        <v>1088</v>
      </c>
      <c r="H359" t="s">
        <v>18</v>
      </c>
      <c r="I359" t="s">
        <v>1089</v>
      </c>
      <c r="J359" t="str">
        <f>"9781292025971"</f>
        <v>9781292025971</v>
      </c>
      <c r="K359" t="str">
        <f>"9781292038391"</f>
        <v>9781292038391</v>
      </c>
      <c r="L359" t="s">
        <v>25</v>
      </c>
      <c r="M359" t="s">
        <v>15</v>
      </c>
    </row>
    <row r="360" spans="1:13" x14ac:dyDescent="0.15">
      <c r="A360">
        <v>5137361</v>
      </c>
      <c r="B360" t="s">
        <v>1090</v>
      </c>
      <c r="C360" s="1">
        <v>41485</v>
      </c>
      <c r="D360">
        <v>5</v>
      </c>
      <c r="F360" t="s">
        <v>1091</v>
      </c>
      <c r="G360" t="s">
        <v>189</v>
      </c>
      <c r="H360" t="s">
        <v>18</v>
      </c>
      <c r="I360" t="s">
        <v>1092</v>
      </c>
      <c r="J360" t="str">
        <f>"9781292022390"</f>
        <v>9781292022390</v>
      </c>
      <c r="K360" t="str">
        <f>"9781292035598"</f>
        <v>9781292035598</v>
      </c>
      <c r="L360" t="s">
        <v>25</v>
      </c>
      <c r="M360" t="s">
        <v>15</v>
      </c>
    </row>
    <row r="361" spans="1:13" x14ac:dyDescent="0.15">
      <c r="A361">
        <v>5137362</v>
      </c>
      <c r="B361" t="s">
        <v>420</v>
      </c>
      <c r="C361" s="1">
        <v>41509</v>
      </c>
      <c r="D361">
        <v>5</v>
      </c>
      <c r="F361" t="s">
        <v>1091</v>
      </c>
      <c r="G361" t="s">
        <v>189</v>
      </c>
      <c r="H361" t="s">
        <v>18</v>
      </c>
      <c r="I361" t="s">
        <v>1093</v>
      </c>
      <c r="J361" t="str">
        <f>"9781292022437"</f>
        <v>9781292022437</v>
      </c>
      <c r="K361" t="str">
        <f>"9781292035635"</f>
        <v>9781292035635</v>
      </c>
      <c r="L361" t="s">
        <v>25</v>
      </c>
      <c r="M361" t="s">
        <v>15</v>
      </c>
    </row>
    <row r="362" spans="1:13" x14ac:dyDescent="0.15">
      <c r="A362">
        <v>5137363</v>
      </c>
      <c r="B362" t="s">
        <v>1037</v>
      </c>
      <c r="C362" s="1">
        <v>41484</v>
      </c>
      <c r="D362">
        <v>5</v>
      </c>
      <c r="F362" t="s">
        <v>1094</v>
      </c>
      <c r="G362" t="s">
        <v>189</v>
      </c>
      <c r="H362" t="s">
        <v>18</v>
      </c>
      <c r="I362" t="s">
        <v>1095</v>
      </c>
      <c r="J362" t="str">
        <f>"9781292022543"</f>
        <v>9781292022543</v>
      </c>
      <c r="K362" t="str">
        <f>"9781292035741"</f>
        <v>9781292035741</v>
      </c>
      <c r="L362" t="s">
        <v>25</v>
      </c>
      <c r="M362" t="s">
        <v>15</v>
      </c>
    </row>
    <row r="363" spans="1:13" x14ac:dyDescent="0.15">
      <c r="A363">
        <v>5137364</v>
      </c>
      <c r="B363" t="s">
        <v>1096</v>
      </c>
      <c r="C363" s="1">
        <v>41515</v>
      </c>
      <c r="D363">
        <v>5</v>
      </c>
      <c r="F363" t="s">
        <v>1094</v>
      </c>
      <c r="H363" t="s">
        <v>18</v>
      </c>
      <c r="I363" t="s">
        <v>1097</v>
      </c>
      <c r="J363" t="str">
        <f>"9781292023915"</f>
        <v>9781292023915</v>
      </c>
      <c r="K363" t="str">
        <f>"9781292037028"</f>
        <v>9781292037028</v>
      </c>
      <c r="L363" t="s">
        <v>25</v>
      </c>
      <c r="M363" t="s">
        <v>15</v>
      </c>
    </row>
    <row r="364" spans="1:13" x14ac:dyDescent="0.15">
      <c r="A364">
        <v>5137365</v>
      </c>
      <c r="B364" t="s">
        <v>941</v>
      </c>
      <c r="C364" s="1">
        <v>41579</v>
      </c>
      <c r="D364">
        <v>6</v>
      </c>
      <c r="F364" t="s">
        <v>1094</v>
      </c>
      <c r="G364" t="s">
        <v>189</v>
      </c>
      <c r="H364" t="s">
        <v>18</v>
      </c>
      <c r="I364" t="s">
        <v>1098</v>
      </c>
      <c r="J364" t="str">
        <f>"9781292039923"</f>
        <v>9781292039923</v>
      </c>
      <c r="K364" t="str">
        <f>"9781292052038"</f>
        <v>9781292052038</v>
      </c>
      <c r="L364" t="s">
        <v>25</v>
      </c>
      <c r="M364" t="s">
        <v>15</v>
      </c>
    </row>
    <row r="365" spans="1:13" x14ac:dyDescent="0.15">
      <c r="A365">
        <v>5137367</v>
      </c>
      <c r="B365" t="s">
        <v>1099</v>
      </c>
      <c r="C365" s="1">
        <v>41579</v>
      </c>
      <c r="D365">
        <v>6</v>
      </c>
      <c r="F365" t="s">
        <v>1100</v>
      </c>
      <c r="G365" t="s">
        <v>304</v>
      </c>
      <c r="H365" t="s">
        <v>18</v>
      </c>
      <c r="I365" t="s">
        <v>1101</v>
      </c>
      <c r="J365" t="str">
        <f>"9781292041957"</f>
        <v>9781292041957</v>
      </c>
      <c r="K365" t="str">
        <f>"9781292052045"</f>
        <v>9781292052045</v>
      </c>
      <c r="L365" t="s">
        <v>25</v>
      </c>
      <c r="M365" t="s">
        <v>15</v>
      </c>
    </row>
    <row r="366" spans="1:13" x14ac:dyDescent="0.15">
      <c r="A366">
        <v>5137374</v>
      </c>
      <c r="B366" t="s">
        <v>1102</v>
      </c>
      <c r="C366" s="1">
        <v>41472</v>
      </c>
      <c r="D366">
        <v>7</v>
      </c>
      <c r="F366" t="s">
        <v>1103</v>
      </c>
      <c r="G366" t="s">
        <v>395</v>
      </c>
      <c r="H366" t="s">
        <v>18</v>
      </c>
      <c r="I366" t="s">
        <v>1104</v>
      </c>
      <c r="J366" t="str">
        <f>"9781292022864"</f>
        <v>9781292022864</v>
      </c>
      <c r="K366" t="str">
        <f>"9781292036052"</f>
        <v>9781292036052</v>
      </c>
      <c r="L366" t="s">
        <v>25</v>
      </c>
      <c r="M366" t="s">
        <v>15</v>
      </c>
    </row>
    <row r="367" spans="1:13" x14ac:dyDescent="0.15">
      <c r="A367">
        <v>5137381</v>
      </c>
      <c r="B367" t="s">
        <v>1105</v>
      </c>
      <c r="C367" s="1">
        <v>41469</v>
      </c>
      <c r="D367">
        <v>5</v>
      </c>
      <c r="F367" t="s">
        <v>1106</v>
      </c>
      <c r="G367" t="s">
        <v>1107</v>
      </c>
      <c r="H367" t="s">
        <v>18</v>
      </c>
      <c r="I367" t="s">
        <v>1108</v>
      </c>
      <c r="J367" t="str">
        <f>"9781292021287"</f>
        <v>9781292021287</v>
      </c>
      <c r="K367" t="str">
        <f>"9781292034515"</f>
        <v>9781292034515</v>
      </c>
      <c r="L367" t="s">
        <v>25</v>
      </c>
      <c r="M367" t="s">
        <v>15</v>
      </c>
    </row>
    <row r="368" spans="1:13" x14ac:dyDescent="0.15">
      <c r="A368">
        <v>5137387</v>
      </c>
      <c r="B368" t="s">
        <v>1109</v>
      </c>
      <c r="C368" s="1">
        <v>41529</v>
      </c>
      <c r="D368">
        <v>3</v>
      </c>
      <c r="F368" t="s">
        <v>1110</v>
      </c>
      <c r="G368" t="s">
        <v>65</v>
      </c>
      <c r="H368" t="s">
        <v>18</v>
      </c>
      <c r="I368" t="s">
        <v>1111</v>
      </c>
      <c r="J368" t="str">
        <f>"9781292004518"</f>
        <v>9781292004518</v>
      </c>
      <c r="K368" t="str">
        <f>"9781292004570"</f>
        <v>9781292004570</v>
      </c>
      <c r="L368" t="s">
        <v>25</v>
      </c>
      <c r="M368" t="s">
        <v>15</v>
      </c>
    </row>
    <row r="369" spans="1:13" x14ac:dyDescent="0.15">
      <c r="A369">
        <v>5137395</v>
      </c>
      <c r="B369" t="s">
        <v>1112</v>
      </c>
      <c r="C369" s="1">
        <v>41478</v>
      </c>
      <c r="D369">
        <v>5</v>
      </c>
      <c r="F369" t="s">
        <v>1113</v>
      </c>
      <c r="G369" t="s">
        <v>27</v>
      </c>
      <c r="H369" t="s">
        <v>18</v>
      </c>
      <c r="I369" t="s">
        <v>1114</v>
      </c>
      <c r="J369" t="str">
        <f>"9781292021263"</f>
        <v>9781292021263</v>
      </c>
      <c r="K369" t="str">
        <f>"9781292034492"</f>
        <v>9781292034492</v>
      </c>
      <c r="L369" t="s">
        <v>25</v>
      </c>
      <c r="M369" t="s">
        <v>15</v>
      </c>
    </row>
    <row r="370" spans="1:13" x14ac:dyDescent="0.15">
      <c r="A370">
        <v>5137397</v>
      </c>
      <c r="B370" t="s">
        <v>1115</v>
      </c>
      <c r="C370" s="1">
        <v>41579</v>
      </c>
      <c r="D370">
        <v>2</v>
      </c>
      <c r="F370" t="s">
        <v>1116</v>
      </c>
      <c r="G370" t="s">
        <v>304</v>
      </c>
      <c r="H370" t="s">
        <v>18</v>
      </c>
      <c r="I370" t="s">
        <v>1117</v>
      </c>
      <c r="J370" t="str">
        <f>"9781292041582"</f>
        <v>9781292041582</v>
      </c>
      <c r="K370" t="str">
        <f>"9781292052076"</f>
        <v>9781292052076</v>
      </c>
      <c r="L370" t="s">
        <v>25</v>
      </c>
      <c r="M370" t="s">
        <v>15</v>
      </c>
    </row>
    <row r="371" spans="1:13" x14ac:dyDescent="0.15">
      <c r="A371">
        <v>5137402</v>
      </c>
      <c r="B371" t="s">
        <v>1118</v>
      </c>
      <c r="C371" s="1">
        <v>41484</v>
      </c>
      <c r="D371">
        <v>14</v>
      </c>
      <c r="F371" t="s">
        <v>1119</v>
      </c>
      <c r="G371" t="s">
        <v>1120</v>
      </c>
      <c r="H371" t="s">
        <v>18</v>
      </c>
      <c r="I371" t="s">
        <v>1121</v>
      </c>
      <c r="J371" t="str">
        <f>"9781292020792"</f>
        <v>9781292020792</v>
      </c>
      <c r="K371" t="str">
        <f>"9781292034041"</f>
        <v>9781292034041</v>
      </c>
      <c r="L371" t="s">
        <v>25</v>
      </c>
      <c r="M371" t="s">
        <v>15</v>
      </c>
    </row>
    <row r="372" spans="1:13" x14ac:dyDescent="0.15">
      <c r="A372">
        <v>5137403</v>
      </c>
      <c r="B372" t="s">
        <v>1122</v>
      </c>
      <c r="C372" s="1">
        <v>41579</v>
      </c>
      <c r="D372">
        <v>3</v>
      </c>
      <c r="F372" t="s">
        <v>1123</v>
      </c>
      <c r="G372" t="s">
        <v>1120</v>
      </c>
      <c r="H372" t="s">
        <v>18</v>
      </c>
      <c r="I372" t="s">
        <v>1124</v>
      </c>
      <c r="J372" t="str">
        <f>"9781292039299"</f>
        <v>9781292039299</v>
      </c>
      <c r="K372" t="str">
        <f>"9781292052083"</f>
        <v>9781292052083</v>
      </c>
      <c r="L372" t="s">
        <v>25</v>
      </c>
      <c r="M372" t="s">
        <v>15</v>
      </c>
    </row>
    <row r="373" spans="1:13" x14ac:dyDescent="0.15">
      <c r="A373">
        <v>5137404</v>
      </c>
      <c r="B373" t="s">
        <v>1125</v>
      </c>
      <c r="C373" s="1">
        <v>41579</v>
      </c>
      <c r="D373">
        <v>4</v>
      </c>
      <c r="F373" t="s">
        <v>1126</v>
      </c>
      <c r="G373" t="s">
        <v>189</v>
      </c>
      <c r="H373" t="s">
        <v>18</v>
      </c>
      <c r="I373" t="s">
        <v>1127</v>
      </c>
      <c r="J373" t="str">
        <f>"9781292042060"</f>
        <v>9781292042060</v>
      </c>
      <c r="K373" t="str">
        <f>"9781292052090"</f>
        <v>9781292052090</v>
      </c>
      <c r="L373" t="s">
        <v>25</v>
      </c>
      <c r="M373" t="s">
        <v>15</v>
      </c>
    </row>
    <row r="374" spans="1:13" x14ac:dyDescent="0.15">
      <c r="A374">
        <v>5137409</v>
      </c>
      <c r="B374" t="s">
        <v>1128</v>
      </c>
      <c r="C374" s="1">
        <v>41353</v>
      </c>
      <c r="D374">
        <v>11</v>
      </c>
      <c r="F374" t="s">
        <v>1129</v>
      </c>
      <c r="H374" t="s">
        <v>18</v>
      </c>
      <c r="I374" t="s">
        <v>1130</v>
      </c>
      <c r="J374" t="str">
        <f>""</f>
        <v/>
      </c>
      <c r="K374" t="str">
        <f>"9780273775782"</f>
        <v>9780273775782</v>
      </c>
      <c r="L374" t="s">
        <v>25</v>
      </c>
      <c r="M374" t="s">
        <v>298</v>
      </c>
    </row>
    <row r="375" spans="1:13" x14ac:dyDescent="0.15">
      <c r="A375">
        <v>5137410</v>
      </c>
      <c r="B375" t="s">
        <v>1131</v>
      </c>
      <c r="C375" s="1">
        <v>41579</v>
      </c>
      <c r="D375">
        <v>6</v>
      </c>
      <c r="F375" t="s">
        <v>1132</v>
      </c>
      <c r="G375" t="s">
        <v>65</v>
      </c>
      <c r="H375" t="s">
        <v>18</v>
      </c>
      <c r="I375" t="s">
        <v>1133</v>
      </c>
      <c r="J375" t="str">
        <f>"9781292042237"</f>
        <v>9781292042237</v>
      </c>
      <c r="K375" t="str">
        <f>"9781292052106"</f>
        <v>9781292052106</v>
      </c>
      <c r="L375" t="s">
        <v>25</v>
      </c>
      <c r="M375" t="s">
        <v>15</v>
      </c>
    </row>
    <row r="376" spans="1:13" x14ac:dyDescent="0.15">
      <c r="A376">
        <v>5137411</v>
      </c>
      <c r="B376" t="s">
        <v>601</v>
      </c>
      <c r="C376" s="1">
        <v>41478</v>
      </c>
      <c r="D376">
        <v>5</v>
      </c>
      <c r="F376" t="s">
        <v>1134</v>
      </c>
      <c r="G376" t="s">
        <v>189</v>
      </c>
      <c r="H376" t="s">
        <v>18</v>
      </c>
      <c r="I376" t="s">
        <v>1135</v>
      </c>
      <c r="J376" t="str">
        <f>"9781292022147"</f>
        <v>9781292022147</v>
      </c>
      <c r="K376" t="str">
        <f>"9781292035345"</f>
        <v>9781292035345</v>
      </c>
      <c r="L376" t="s">
        <v>25</v>
      </c>
      <c r="M376" t="s">
        <v>15</v>
      </c>
    </row>
    <row r="377" spans="1:13" x14ac:dyDescent="0.15">
      <c r="A377">
        <v>5137412</v>
      </c>
      <c r="B377" t="s">
        <v>1136</v>
      </c>
      <c r="C377" s="1">
        <v>41579</v>
      </c>
      <c r="D377">
        <v>6</v>
      </c>
      <c r="F377" t="s">
        <v>1137</v>
      </c>
      <c r="G377" t="s">
        <v>27</v>
      </c>
      <c r="H377" t="s">
        <v>18</v>
      </c>
      <c r="I377" t="s">
        <v>1138</v>
      </c>
      <c r="J377" t="str">
        <f>"9781292042015"</f>
        <v>9781292042015</v>
      </c>
      <c r="K377" t="str">
        <f>"9781292052113"</f>
        <v>9781292052113</v>
      </c>
      <c r="L377" t="s">
        <v>25</v>
      </c>
      <c r="M377" t="s">
        <v>15</v>
      </c>
    </row>
    <row r="378" spans="1:13" x14ac:dyDescent="0.15">
      <c r="A378">
        <v>5137417</v>
      </c>
      <c r="B378" t="s">
        <v>1139</v>
      </c>
      <c r="C378" s="1">
        <v>41515</v>
      </c>
      <c r="D378">
        <v>1</v>
      </c>
      <c r="F378" t="s">
        <v>1140</v>
      </c>
      <c r="H378" t="s">
        <v>18</v>
      </c>
      <c r="I378" t="s">
        <v>1141</v>
      </c>
      <c r="J378" t="str">
        <f>"9781292024806"</f>
        <v>9781292024806</v>
      </c>
      <c r="K378" t="str">
        <f>"9781292037479"</f>
        <v>9781292037479</v>
      </c>
      <c r="L378" t="s">
        <v>25</v>
      </c>
      <c r="M378" t="s">
        <v>15</v>
      </c>
    </row>
    <row r="379" spans="1:13" x14ac:dyDescent="0.15">
      <c r="A379">
        <v>5137419</v>
      </c>
      <c r="B379" t="s">
        <v>1142</v>
      </c>
      <c r="C379" s="1">
        <v>41513</v>
      </c>
      <c r="D379">
        <v>11</v>
      </c>
      <c r="F379" t="s">
        <v>1143</v>
      </c>
      <c r="H379" t="s">
        <v>18</v>
      </c>
      <c r="I379" t="s">
        <v>1144</v>
      </c>
      <c r="J379" t="str">
        <f>"9781292021898"</f>
        <v>9781292021898</v>
      </c>
      <c r="K379" t="str">
        <f>"9781292035109"</f>
        <v>9781292035109</v>
      </c>
      <c r="L379" t="s">
        <v>25</v>
      </c>
      <c r="M379" t="s">
        <v>15</v>
      </c>
    </row>
    <row r="380" spans="1:13" x14ac:dyDescent="0.15">
      <c r="A380">
        <v>5137420</v>
      </c>
      <c r="B380" t="s">
        <v>1145</v>
      </c>
      <c r="C380" s="1">
        <v>40100</v>
      </c>
      <c r="D380">
        <v>5</v>
      </c>
      <c r="F380" t="s">
        <v>1146</v>
      </c>
      <c r="G380" t="s">
        <v>36</v>
      </c>
      <c r="H380" t="s">
        <v>18</v>
      </c>
      <c r="I380" t="s">
        <v>1147</v>
      </c>
      <c r="J380" t="str">
        <f>"9780273719304"</f>
        <v>9780273719304</v>
      </c>
      <c r="K380" t="str">
        <f>"9781405899840"</f>
        <v>9781405899840</v>
      </c>
      <c r="L380" t="s">
        <v>25</v>
      </c>
      <c r="M380" t="s">
        <v>39</v>
      </c>
    </row>
    <row r="381" spans="1:13" x14ac:dyDescent="0.15">
      <c r="A381">
        <v>5137421</v>
      </c>
      <c r="B381" t="s">
        <v>1148</v>
      </c>
      <c r="C381" s="1">
        <v>41472</v>
      </c>
      <c r="D381">
        <v>10</v>
      </c>
      <c r="F381" t="s">
        <v>1149</v>
      </c>
      <c r="G381" t="s">
        <v>1050</v>
      </c>
      <c r="H381" t="s">
        <v>18</v>
      </c>
      <c r="I381" t="s">
        <v>1150</v>
      </c>
      <c r="J381" t="str">
        <f>"9781292025155"</f>
        <v>9781292025155</v>
      </c>
      <c r="K381" t="str">
        <f>"9781292037745"</f>
        <v>9781292037745</v>
      </c>
      <c r="L381" t="s">
        <v>25</v>
      </c>
      <c r="M381" t="s">
        <v>15</v>
      </c>
    </row>
    <row r="382" spans="1:13" x14ac:dyDescent="0.15">
      <c r="A382">
        <v>5137422</v>
      </c>
      <c r="B382" t="s">
        <v>1151</v>
      </c>
      <c r="C382" s="1">
        <v>41478</v>
      </c>
      <c r="D382">
        <v>3</v>
      </c>
      <c r="F382" t="s">
        <v>1152</v>
      </c>
      <c r="G382" t="s">
        <v>65</v>
      </c>
      <c r="H382" t="s">
        <v>18</v>
      </c>
      <c r="I382" t="s">
        <v>1153</v>
      </c>
      <c r="J382" t="str">
        <f>"9781292024790"</f>
        <v>9781292024790</v>
      </c>
      <c r="K382" t="str">
        <f>"9781292037462"</f>
        <v>9781292037462</v>
      </c>
      <c r="L382" t="s">
        <v>25</v>
      </c>
      <c r="M382" t="s">
        <v>15</v>
      </c>
    </row>
    <row r="383" spans="1:13" x14ac:dyDescent="0.15">
      <c r="A383">
        <v>5137423</v>
      </c>
      <c r="B383" t="s">
        <v>1154</v>
      </c>
      <c r="C383" s="1">
        <v>41579</v>
      </c>
      <c r="D383">
        <v>6</v>
      </c>
      <c r="F383" t="s">
        <v>1155</v>
      </c>
      <c r="G383" t="s">
        <v>27</v>
      </c>
      <c r="H383" t="s">
        <v>18</v>
      </c>
      <c r="I383" t="s">
        <v>1156</v>
      </c>
      <c r="J383" t="str">
        <f>"9781292041025"</f>
        <v>9781292041025</v>
      </c>
      <c r="K383" t="str">
        <f>"9781292054643"</f>
        <v>9781292054643</v>
      </c>
      <c r="L383" t="s">
        <v>25</v>
      </c>
      <c r="M383" t="s">
        <v>15</v>
      </c>
    </row>
    <row r="384" spans="1:13" x14ac:dyDescent="0.15">
      <c r="A384">
        <v>5137429</v>
      </c>
      <c r="B384" t="s">
        <v>1157</v>
      </c>
      <c r="C384" s="1">
        <v>41478</v>
      </c>
      <c r="D384">
        <v>7</v>
      </c>
      <c r="F384" t="s">
        <v>1158</v>
      </c>
      <c r="G384" t="s">
        <v>36</v>
      </c>
      <c r="H384" t="s">
        <v>18</v>
      </c>
      <c r="I384" t="s">
        <v>1159</v>
      </c>
      <c r="J384" t="str">
        <f>"9781292023465"</f>
        <v>9781292023465</v>
      </c>
      <c r="K384" t="str">
        <f>"9781292036632"</f>
        <v>9781292036632</v>
      </c>
      <c r="L384" t="s">
        <v>25</v>
      </c>
      <c r="M384" t="s">
        <v>15</v>
      </c>
    </row>
    <row r="385" spans="1:13" x14ac:dyDescent="0.15">
      <c r="A385">
        <v>5137432</v>
      </c>
      <c r="B385" t="s">
        <v>1160</v>
      </c>
      <c r="C385" s="1">
        <v>41579</v>
      </c>
      <c r="D385">
        <v>10</v>
      </c>
      <c r="F385" t="s">
        <v>1161</v>
      </c>
      <c r="G385" t="s">
        <v>36</v>
      </c>
      <c r="H385" t="s">
        <v>18</v>
      </c>
      <c r="I385" t="s">
        <v>1162</v>
      </c>
      <c r="J385" t="str">
        <f>"9781292042879"</f>
        <v>9781292042879</v>
      </c>
      <c r="K385" t="str">
        <f>"9781292052144"</f>
        <v>9781292052144</v>
      </c>
      <c r="L385" t="s">
        <v>25</v>
      </c>
      <c r="M385" t="s">
        <v>15</v>
      </c>
    </row>
    <row r="386" spans="1:13" x14ac:dyDescent="0.15">
      <c r="A386">
        <v>5137434</v>
      </c>
      <c r="B386" t="s">
        <v>1163</v>
      </c>
      <c r="C386" s="1">
        <v>41550</v>
      </c>
      <c r="D386">
        <v>12</v>
      </c>
      <c r="F386" t="s">
        <v>1164</v>
      </c>
      <c r="H386" t="s">
        <v>18</v>
      </c>
      <c r="I386" t="s">
        <v>1165</v>
      </c>
      <c r="J386" t="str">
        <f>"9781292040431"</f>
        <v>9781292040431</v>
      </c>
      <c r="K386" t="str">
        <f>"9781292052151"</f>
        <v>9781292052151</v>
      </c>
      <c r="L386" t="s">
        <v>25</v>
      </c>
      <c r="M386" t="s">
        <v>15</v>
      </c>
    </row>
    <row r="387" spans="1:13" x14ac:dyDescent="0.15">
      <c r="A387">
        <v>5137440</v>
      </c>
      <c r="B387" t="s">
        <v>1166</v>
      </c>
      <c r="C387" s="1">
        <v>41550</v>
      </c>
      <c r="D387">
        <v>7</v>
      </c>
      <c r="F387" t="s">
        <v>350</v>
      </c>
      <c r="H387" t="s">
        <v>18</v>
      </c>
      <c r="I387" t="s">
        <v>1167</v>
      </c>
      <c r="J387" t="str">
        <f>"9781292041575"</f>
        <v>9781292041575</v>
      </c>
      <c r="K387" t="str">
        <f>"9781292052175"</f>
        <v>9781292052175</v>
      </c>
      <c r="L387" t="s">
        <v>25</v>
      </c>
      <c r="M387" t="s">
        <v>15</v>
      </c>
    </row>
    <row r="388" spans="1:13" x14ac:dyDescent="0.15">
      <c r="A388">
        <v>5137443</v>
      </c>
      <c r="B388" t="s">
        <v>1168</v>
      </c>
      <c r="C388" s="1">
        <v>41515</v>
      </c>
      <c r="D388">
        <v>2</v>
      </c>
      <c r="F388" t="s">
        <v>1169</v>
      </c>
      <c r="H388" t="s">
        <v>18</v>
      </c>
      <c r="I388" t="s">
        <v>1170</v>
      </c>
      <c r="J388" t="str">
        <f>"9781292025841"</f>
        <v>9781292025841</v>
      </c>
      <c r="K388" t="str">
        <f>"9781292038261"</f>
        <v>9781292038261</v>
      </c>
      <c r="L388" t="s">
        <v>25</v>
      </c>
      <c r="M388" t="s">
        <v>15</v>
      </c>
    </row>
    <row r="389" spans="1:13" x14ac:dyDescent="0.15">
      <c r="A389">
        <v>5137446</v>
      </c>
      <c r="B389" t="s">
        <v>1171</v>
      </c>
      <c r="C389" s="1">
        <v>40582</v>
      </c>
      <c r="D389">
        <v>1</v>
      </c>
      <c r="F389" t="s">
        <v>1172</v>
      </c>
      <c r="G389" t="s">
        <v>202</v>
      </c>
      <c r="H389" t="s">
        <v>18</v>
      </c>
      <c r="I389" t="s">
        <v>1173</v>
      </c>
      <c r="J389" t="str">
        <f>"9780273735113"</f>
        <v>9780273735113</v>
      </c>
      <c r="K389" t="str">
        <f>"9780273735632"</f>
        <v>9780273735632</v>
      </c>
      <c r="L389" t="s">
        <v>25</v>
      </c>
      <c r="M389" t="s">
        <v>39</v>
      </c>
    </row>
    <row r="390" spans="1:13" x14ac:dyDescent="0.15">
      <c r="A390">
        <v>5137470</v>
      </c>
      <c r="B390" t="s">
        <v>1174</v>
      </c>
      <c r="C390" s="1">
        <v>41579</v>
      </c>
      <c r="D390">
        <v>5</v>
      </c>
      <c r="F390" t="s">
        <v>1175</v>
      </c>
      <c r="G390" t="s">
        <v>304</v>
      </c>
      <c r="H390" t="s">
        <v>18</v>
      </c>
      <c r="I390" t="s">
        <v>1176</v>
      </c>
      <c r="J390" t="str">
        <f>"9781292041193"</f>
        <v>9781292041193</v>
      </c>
      <c r="K390" t="str">
        <f>"9781292052229"</f>
        <v>9781292052229</v>
      </c>
      <c r="L390" t="s">
        <v>25</v>
      </c>
      <c r="M390" t="s">
        <v>15</v>
      </c>
    </row>
    <row r="391" spans="1:13" x14ac:dyDescent="0.15">
      <c r="A391">
        <v>5137472</v>
      </c>
      <c r="B391" t="s">
        <v>1177</v>
      </c>
      <c r="C391" s="1">
        <v>41579</v>
      </c>
      <c r="D391">
        <v>7</v>
      </c>
      <c r="F391" t="s">
        <v>1178</v>
      </c>
      <c r="G391" t="s">
        <v>117</v>
      </c>
      <c r="H391" t="s">
        <v>18</v>
      </c>
      <c r="I391" t="s">
        <v>1179</v>
      </c>
      <c r="J391" t="str">
        <f>"9781292041810"</f>
        <v>9781292041810</v>
      </c>
      <c r="K391" t="str">
        <f>"9781292054360"</f>
        <v>9781292054360</v>
      </c>
      <c r="L391" t="s">
        <v>25</v>
      </c>
      <c r="M391" t="s">
        <v>15</v>
      </c>
    </row>
    <row r="392" spans="1:13" x14ac:dyDescent="0.15">
      <c r="A392">
        <v>5137480</v>
      </c>
      <c r="B392" t="s">
        <v>852</v>
      </c>
      <c r="C392" s="1">
        <v>41579</v>
      </c>
      <c r="D392">
        <v>10</v>
      </c>
      <c r="F392" t="s">
        <v>1180</v>
      </c>
      <c r="G392" t="s">
        <v>596</v>
      </c>
      <c r="H392" t="s">
        <v>18</v>
      </c>
      <c r="I392" t="s">
        <v>1181</v>
      </c>
      <c r="J392" t="str">
        <f>"9781292040394"</f>
        <v>9781292040394</v>
      </c>
      <c r="K392" t="str">
        <f>"9781292052236"</f>
        <v>9781292052236</v>
      </c>
      <c r="L392" t="s">
        <v>25</v>
      </c>
      <c r="M392" t="s">
        <v>15</v>
      </c>
    </row>
    <row r="393" spans="1:13" x14ac:dyDescent="0.15">
      <c r="A393">
        <v>5137481</v>
      </c>
      <c r="B393" t="s">
        <v>1182</v>
      </c>
      <c r="C393" s="1">
        <v>41579</v>
      </c>
      <c r="D393">
        <v>2</v>
      </c>
      <c r="F393" t="s">
        <v>1183</v>
      </c>
      <c r="G393" t="s">
        <v>408</v>
      </c>
      <c r="H393" t="s">
        <v>18</v>
      </c>
      <c r="I393" t="s">
        <v>1184</v>
      </c>
      <c r="J393" t="str">
        <f>"9781292041940"</f>
        <v>9781292041940</v>
      </c>
      <c r="K393" t="str">
        <f>"9781292052243"</f>
        <v>9781292052243</v>
      </c>
      <c r="L393" t="s">
        <v>25</v>
      </c>
      <c r="M393" t="s">
        <v>15</v>
      </c>
    </row>
    <row r="394" spans="1:13" x14ac:dyDescent="0.15">
      <c r="A394">
        <v>5137482</v>
      </c>
      <c r="B394" t="s">
        <v>1185</v>
      </c>
      <c r="C394" s="1">
        <v>41579</v>
      </c>
      <c r="D394">
        <v>10</v>
      </c>
      <c r="F394" t="s">
        <v>1186</v>
      </c>
      <c r="G394" t="s">
        <v>27</v>
      </c>
      <c r="H394" t="s">
        <v>18</v>
      </c>
      <c r="I394" t="s">
        <v>1187</v>
      </c>
      <c r="J394" t="str">
        <f>"9781292041537"</f>
        <v>9781292041537</v>
      </c>
      <c r="K394" t="str">
        <f>"9781292052250"</f>
        <v>9781292052250</v>
      </c>
      <c r="L394" t="s">
        <v>25</v>
      </c>
      <c r="M394" t="s">
        <v>15</v>
      </c>
    </row>
    <row r="395" spans="1:13" x14ac:dyDescent="0.15">
      <c r="A395">
        <v>5137483</v>
      </c>
      <c r="B395" t="s">
        <v>1188</v>
      </c>
      <c r="C395" s="1">
        <v>41487</v>
      </c>
      <c r="D395">
        <v>9</v>
      </c>
      <c r="F395" t="s">
        <v>1189</v>
      </c>
      <c r="G395" t="s">
        <v>1190</v>
      </c>
      <c r="H395" t="s">
        <v>18</v>
      </c>
      <c r="I395" t="s">
        <v>1191</v>
      </c>
      <c r="J395" t="str">
        <f>"9781292021966"</f>
        <v>9781292021966</v>
      </c>
      <c r="K395" t="str">
        <f>"9781292035178"</f>
        <v>9781292035178</v>
      </c>
      <c r="L395" t="s">
        <v>25</v>
      </c>
      <c r="M395" t="s">
        <v>15</v>
      </c>
    </row>
    <row r="396" spans="1:13" x14ac:dyDescent="0.15">
      <c r="A396">
        <v>5137484</v>
      </c>
      <c r="B396" t="s">
        <v>1192</v>
      </c>
      <c r="C396" s="1">
        <v>41514</v>
      </c>
      <c r="D396">
        <v>11</v>
      </c>
      <c r="F396" t="s">
        <v>1189</v>
      </c>
      <c r="G396" t="s">
        <v>1193</v>
      </c>
      <c r="H396" t="s">
        <v>18</v>
      </c>
      <c r="I396" t="s">
        <v>1194</v>
      </c>
      <c r="J396" t="str">
        <f>"9781292023205"</f>
        <v>9781292023205</v>
      </c>
      <c r="K396" t="str">
        <f>"9781292036380"</f>
        <v>9781292036380</v>
      </c>
      <c r="L396" t="s">
        <v>25</v>
      </c>
      <c r="M396" t="s">
        <v>15</v>
      </c>
    </row>
    <row r="397" spans="1:13" x14ac:dyDescent="0.15">
      <c r="A397">
        <v>5137486</v>
      </c>
      <c r="B397" t="s">
        <v>381</v>
      </c>
      <c r="C397" s="1">
        <v>41579</v>
      </c>
      <c r="D397">
        <v>7</v>
      </c>
      <c r="F397" t="s">
        <v>1195</v>
      </c>
      <c r="G397" t="s">
        <v>65</v>
      </c>
      <c r="H397" t="s">
        <v>18</v>
      </c>
      <c r="I397" t="s">
        <v>1196</v>
      </c>
      <c r="J397" t="str">
        <f>"9781292039695"</f>
        <v>9781292039695</v>
      </c>
      <c r="K397" t="str">
        <f>"9781292056142"</f>
        <v>9781292056142</v>
      </c>
      <c r="L397" t="s">
        <v>25</v>
      </c>
      <c r="M397" t="s">
        <v>15</v>
      </c>
    </row>
    <row r="398" spans="1:13" x14ac:dyDescent="0.15">
      <c r="A398">
        <v>5137488</v>
      </c>
      <c r="B398" t="s">
        <v>1197</v>
      </c>
      <c r="C398" s="1">
        <v>41550</v>
      </c>
      <c r="D398">
        <v>9</v>
      </c>
      <c r="F398" t="s">
        <v>1198</v>
      </c>
      <c r="H398" t="s">
        <v>18</v>
      </c>
      <c r="I398" t="s">
        <v>1199</v>
      </c>
      <c r="J398" t="str">
        <f>"9781292027210"</f>
        <v>9781292027210</v>
      </c>
      <c r="K398" t="str">
        <f>"9781292052267"</f>
        <v>9781292052267</v>
      </c>
      <c r="L398" t="s">
        <v>25</v>
      </c>
      <c r="M398" t="s">
        <v>15</v>
      </c>
    </row>
    <row r="399" spans="1:13" x14ac:dyDescent="0.15">
      <c r="A399">
        <v>5137494</v>
      </c>
      <c r="B399" t="s">
        <v>1200</v>
      </c>
      <c r="C399" s="1">
        <v>41579</v>
      </c>
      <c r="D399">
        <v>10</v>
      </c>
      <c r="F399" t="s">
        <v>1201</v>
      </c>
      <c r="G399" t="s">
        <v>117</v>
      </c>
      <c r="H399" t="s">
        <v>18</v>
      </c>
      <c r="I399" t="s">
        <v>1202</v>
      </c>
      <c r="J399" t="str">
        <f>"9781292039954"</f>
        <v>9781292039954</v>
      </c>
      <c r="K399" t="str">
        <f>"9781292052274"</f>
        <v>9781292052274</v>
      </c>
      <c r="L399" t="s">
        <v>25</v>
      </c>
      <c r="M399" t="s">
        <v>15</v>
      </c>
    </row>
    <row r="400" spans="1:13" x14ac:dyDescent="0.15">
      <c r="A400">
        <v>5137498</v>
      </c>
      <c r="B400" t="s">
        <v>1203</v>
      </c>
      <c r="C400" s="1">
        <v>41579</v>
      </c>
      <c r="D400">
        <v>1</v>
      </c>
      <c r="F400" t="s">
        <v>1204</v>
      </c>
      <c r="G400" t="s">
        <v>27</v>
      </c>
      <c r="H400" t="s">
        <v>18</v>
      </c>
      <c r="I400" t="s">
        <v>1205</v>
      </c>
      <c r="J400" t="str">
        <f>"9781292042619"</f>
        <v>9781292042619</v>
      </c>
      <c r="K400" t="str">
        <f>"9781292052281"</f>
        <v>9781292052281</v>
      </c>
      <c r="L400" t="s">
        <v>25</v>
      </c>
      <c r="M400" t="s">
        <v>15</v>
      </c>
    </row>
    <row r="401" spans="1:13" x14ac:dyDescent="0.15">
      <c r="A401">
        <v>5137500</v>
      </c>
      <c r="B401" t="s">
        <v>1206</v>
      </c>
      <c r="C401" s="1">
        <v>41045</v>
      </c>
      <c r="D401">
        <v>3</v>
      </c>
      <c r="F401" t="s">
        <v>1207</v>
      </c>
      <c r="G401" t="s">
        <v>36</v>
      </c>
      <c r="H401" t="s">
        <v>18</v>
      </c>
      <c r="I401" t="s">
        <v>1208</v>
      </c>
      <c r="J401" t="str">
        <f>"9780273726104"</f>
        <v>9780273726104</v>
      </c>
      <c r="K401" t="str">
        <f>"9780273726111"</f>
        <v>9780273726111</v>
      </c>
      <c r="L401" t="s">
        <v>25</v>
      </c>
      <c r="M401" t="s">
        <v>15</v>
      </c>
    </row>
    <row r="402" spans="1:13" x14ac:dyDescent="0.15">
      <c r="A402">
        <v>5137513</v>
      </c>
      <c r="B402" t="s">
        <v>1209</v>
      </c>
      <c r="C402" s="1">
        <v>41472</v>
      </c>
      <c r="D402">
        <v>1</v>
      </c>
      <c r="F402" t="s">
        <v>1210</v>
      </c>
      <c r="G402" t="s">
        <v>395</v>
      </c>
      <c r="H402" t="s">
        <v>18</v>
      </c>
      <c r="I402" t="s">
        <v>1211</v>
      </c>
      <c r="J402" t="str">
        <f>"9781292022604"</f>
        <v>9781292022604</v>
      </c>
      <c r="K402" t="str">
        <f>"9781292035802"</f>
        <v>9781292035802</v>
      </c>
      <c r="L402" t="s">
        <v>25</v>
      </c>
      <c r="M402" t="s">
        <v>15</v>
      </c>
    </row>
    <row r="403" spans="1:13" x14ac:dyDescent="0.15">
      <c r="A403">
        <v>5137514</v>
      </c>
      <c r="B403" t="s">
        <v>1212</v>
      </c>
      <c r="C403" s="1">
        <v>41339</v>
      </c>
      <c r="D403">
        <v>5</v>
      </c>
      <c r="F403" t="s">
        <v>1213</v>
      </c>
      <c r="G403" t="s">
        <v>36</v>
      </c>
      <c r="H403" t="s">
        <v>18</v>
      </c>
      <c r="I403" t="s">
        <v>1214</v>
      </c>
      <c r="J403" t="str">
        <f>"9780273752011"</f>
        <v>9780273752011</v>
      </c>
      <c r="K403" t="str">
        <f>"9780273752066"</f>
        <v>9780273752066</v>
      </c>
      <c r="L403" t="s">
        <v>25</v>
      </c>
      <c r="M403" t="s">
        <v>39</v>
      </c>
    </row>
    <row r="404" spans="1:13" x14ac:dyDescent="0.15">
      <c r="A404">
        <v>5137520</v>
      </c>
      <c r="B404" t="s">
        <v>1215</v>
      </c>
      <c r="C404" s="1">
        <v>41579</v>
      </c>
      <c r="D404">
        <v>8</v>
      </c>
      <c r="F404" t="s">
        <v>1216</v>
      </c>
      <c r="G404" t="s">
        <v>27</v>
      </c>
      <c r="H404" t="s">
        <v>18</v>
      </c>
      <c r="I404" t="s">
        <v>1217</v>
      </c>
      <c r="J404" t="str">
        <f>"9781292041933"</f>
        <v>9781292041933</v>
      </c>
      <c r="K404" t="str">
        <f>"9781292052328"</f>
        <v>9781292052328</v>
      </c>
      <c r="L404" t="s">
        <v>25</v>
      </c>
      <c r="M404" t="s">
        <v>15</v>
      </c>
    </row>
    <row r="405" spans="1:13" x14ac:dyDescent="0.15">
      <c r="A405">
        <v>5137523</v>
      </c>
      <c r="B405" t="s">
        <v>1218</v>
      </c>
      <c r="C405" s="1">
        <v>41579</v>
      </c>
      <c r="D405">
        <v>11</v>
      </c>
      <c r="F405" t="s">
        <v>1219</v>
      </c>
      <c r="G405" t="s">
        <v>27</v>
      </c>
      <c r="H405" t="s">
        <v>18</v>
      </c>
      <c r="I405" t="s">
        <v>1220</v>
      </c>
      <c r="J405" t="str">
        <f>"9781292041926"</f>
        <v>9781292041926</v>
      </c>
      <c r="K405" t="str">
        <f>"9781292052335"</f>
        <v>9781292052335</v>
      </c>
      <c r="L405" t="s">
        <v>25</v>
      </c>
      <c r="M405" t="s">
        <v>15</v>
      </c>
    </row>
    <row r="406" spans="1:13" x14ac:dyDescent="0.15">
      <c r="A406">
        <v>5137525</v>
      </c>
      <c r="B406" t="s">
        <v>1221</v>
      </c>
      <c r="C406" s="1">
        <v>41514</v>
      </c>
      <c r="D406">
        <v>8</v>
      </c>
      <c r="F406" t="s">
        <v>1222</v>
      </c>
      <c r="G406" t="s">
        <v>117</v>
      </c>
      <c r="H406" t="s">
        <v>18</v>
      </c>
      <c r="I406" t="s">
        <v>1223</v>
      </c>
      <c r="J406" t="str">
        <f>"9781292023403"</f>
        <v>9781292023403</v>
      </c>
      <c r="K406" t="str">
        <f>"9781292036571"</f>
        <v>9781292036571</v>
      </c>
      <c r="L406" t="s">
        <v>25</v>
      </c>
      <c r="M406" t="s">
        <v>15</v>
      </c>
    </row>
    <row r="407" spans="1:13" x14ac:dyDescent="0.15">
      <c r="A407">
        <v>5137531</v>
      </c>
      <c r="B407" t="s">
        <v>1224</v>
      </c>
      <c r="C407" s="1">
        <v>41584</v>
      </c>
      <c r="D407">
        <v>3</v>
      </c>
      <c r="F407" t="s">
        <v>1225</v>
      </c>
      <c r="H407" t="s">
        <v>18</v>
      </c>
      <c r="I407" t="s">
        <v>1226</v>
      </c>
      <c r="J407" t="str">
        <f>""</f>
        <v/>
      </c>
      <c r="K407" t="str">
        <f>"9780273785927"</f>
        <v>9780273785927</v>
      </c>
      <c r="L407" t="s">
        <v>25</v>
      </c>
      <c r="M407" t="s">
        <v>15</v>
      </c>
    </row>
    <row r="408" spans="1:13" x14ac:dyDescent="0.15">
      <c r="A408">
        <v>5137532</v>
      </c>
      <c r="B408" t="s">
        <v>1227</v>
      </c>
      <c r="C408" s="1">
        <v>41579</v>
      </c>
      <c r="D408">
        <v>10</v>
      </c>
      <c r="F408" t="s">
        <v>1228</v>
      </c>
      <c r="G408" t="s">
        <v>1229</v>
      </c>
      <c r="H408" t="s">
        <v>18</v>
      </c>
      <c r="I408" t="s">
        <v>1230</v>
      </c>
      <c r="J408" t="str">
        <f>"9781292040981"</f>
        <v>9781292040981</v>
      </c>
      <c r="K408" t="str">
        <f>"9781292052373"</f>
        <v>9781292052373</v>
      </c>
      <c r="L408" t="s">
        <v>25</v>
      </c>
      <c r="M408" t="s">
        <v>15</v>
      </c>
    </row>
    <row r="409" spans="1:13" x14ac:dyDescent="0.15">
      <c r="A409">
        <v>5137537</v>
      </c>
      <c r="B409" t="s">
        <v>1231</v>
      </c>
      <c r="C409" s="1">
        <v>41579</v>
      </c>
      <c r="D409">
        <v>2</v>
      </c>
      <c r="F409" t="s">
        <v>1232</v>
      </c>
      <c r="G409" t="s">
        <v>65</v>
      </c>
      <c r="H409" t="s">
        <v>18</v>
      </c>
      <c r="I409" t="s">
        <v>1233</v>
      </c>
      <c r="J409" t="str">
        <f>"9781292039046"</f>
        <v>9781292039046</v>
      </c>
      <c r="K409" t="str">
        <f>"9781292052397"</f>
        <v>9781292052397</v>
      </c>
      <c r="L409" t="s">
        <v>25</v>
      </c>
      <c r="M409" t="s">
        <v>15</v>
      </c>
    </row>
    <row r="410" spans="1:13" x14ac:dyDescent="0.15">
      <c r="A410">
        <v>5137540</v>
      </c>
      <c r="B410" t="s">
        <v>1234</v>
      </c>
      <c r="C410" s="1">
        <v>41478</v>
      </c>
      <c r="D410">
        <v>5</v>
      </c>
      <c r="F410" t="s">
        <v>1235</v>
      </c>
      <c r="G410" t="s">
        <v>65</v>
      </c>
      <c r="H410" t="s">
        <v>18</v>
      </c>
      <c r="I410" t="s">
        <v>1236</v>
      </c>
      <c r="J410" t="str">
        <f>"9781292022291"</f>
        <v>9781292022291</v>
      </c>
      <c r="K410" t="str">
        <f>"9781292035499"</f>
        <v>9781292035499</v>
      </c>
      <c r="L410" t="s">
        <v>25</v>
      </c>
      <c r="M410" t="s">
        <v>15</v>
      </c>
    </row>
    <row r="411" spans="1:13" x14ac:dyDescent="0.15">
      <c r="A411">
        <v>5137542</v>
      </c>
      <c r="B411" t="s">
        <v>381</v>
      </c>
      <c r="C411" s="1">
        <v>41485</v>
      </c>
      <c r="D411">
        <v>2</v>
      </c>
      <c r="F411" t="s">
        <v>1237</v>
      </c>
      <c r="G411" t="s">
        <v>65</v>
      </c>
      <c r="H411" t="s">
        <v>18</v>
      </c>
      <c r="I411" t="s">
        <v>1238</v>
      </c>
      <c r="J411" t="str">
        <f>"9781292023175"</f>
        <v>9781292023175</v>
      </c>
      <c r="K411" t="str">
        <f>"9781292036359"</f>
        <v>9781292036359</v>
      </c>
      <c r="L411" t="s">
        <v>25</v>
      </c>
      <c r="M411" t="s">
        <v>15</v>
      </c>
    </row>
    <row r="412" spans="1:13" x14ac:dyDescent="0.15">
      <c r="A412">
        <v>5137543</v>
      </c>
      <c r="B412" t="s">
        <v>1239</v>
      </c>
      <c r="C412" s="1">
        <v>41550</v>
      </c>
      <c r="D412">
        <v>5</v>
      </c>
      <c r="F412" t="s">
        <v>1240</v>
      </c>
      <c r="H412" t="s">
        <v>18</v>
      </c>
      <c r="I412" t="s">
        <v>1241</v>
      </c>
      <c r="J412" t="str">
        <f>"9781292040868"</f>
        <v>9781292040868</v>
      </c>
      <c r="K412" t="str">
        <f>"9781292052403"</f>
        <v>9781292052403</v>
      </c>
      <c r="L412" t="s">
        <v>25</v>
      </c>
      <c r="M412" t="s">
        <v>15</v>
      </c>
    </row>
    <row r="413" spans="1:13" x14ac:dyDescent="0.15">
      <c r="A413">
        <v>5137548</v>
      </c>
      <c r="B413" t="s">
        <v>1242</v>
      </c>
      <c r="C413" s="1">
        <v>41579</v>
      </c>
      <c r="D413">
        <v>10</v>
      </c>
      <c r="F413" t="s">
        <v>1243</v>
      </c>
      <c r="G413" t="s">
        <v>36</v>
      </c>
      <c r="H413" t="s">
        <v>18</v>
      </c>
      <c r="I413" t="s">
        <v>1244</v>
      </c>
      <c r="J413" t="str">
        <f>"9781292039817"</f>
        <v>9781292039817</v>
      </c>
      <c r="K413" t="str">
        <f>"9781292052427"</f>
        <v>9781292052427</v>
      </c>
      <c r="L413" t="s">
        <v>25</v>
      </c>
      <c r="M413" t="s">
        <v>15</v>
      </c>
    </row>
    <row r="414" spans="1:13" x14ac:dyDescent="0.15">
      <c r="A414">
        <v>5137567</v>
      </c>
      <c r="B414" t="s">
        <v>1245</v>
      </c>
      <c r="C414" s="1">
        <v>41579</v>
      </c>
      <c r="D414">
        <v>5</v>
      </c>
      <c r="F414" t="s">
        <v>1246</v>
      </c>
      <c r="G414" t="s">
        <v>813</v>
      </c>
      <c r="H414" t="s">
        <v>18</v>
      </c>
      <c r="I414" t="s">
        <v>1247</v>
      </c>
      <c r="J414" t="str">
        <f>"9781292039503"</f>
        <v>9781292039503</v>
      </c>
      <c r="K414" t="str">
        <f>"9781292052472"</f>
        <v>9781292052472</v>
      </c>
      <c r="L414" t="s">
        <v>25</v>
      </c>
      <c r="M414" t="s">
        <v>15</v>
      </c>
    </row>
    <row r="415" spans="1:13" x14ac:dyDescent="0.15">
      <c r="A415">
        <v>5137571</v>
      </c>
      <c r="B415" t="s">
        <v>1248</v>
      </c>
      <c r="C415" s="1">
        <v>41339</v>
      </c>
      <c r="D415">
        <v>1</v>
      </c>
      <c r="F415" t="s">
        <v>1249</v>
      </c>
      <c r="G415" t="s">
        <v>1250</v>
      </c>
      <c r="H415" t="s">
        <v>18</v>
      </c>
      <c r="I415" t="s">
        <v>1251</v>
      </c>
      <c r="J415" t="str">
        <f>"9780273724384"</f>
        <v>9780273724384</v>
      </c>
      <c r="K415" t="str">
        <f>"9780273724421"</f>
        <v>9780273724421</v>
      </c>
      <c r="L415" t="s">
        <v>25</v>
      </c>
      <c r="M415" t="s">
        <v>39</v>
      </c>
    </row>
    <row r="416" spans="1:13" x14ac:dyDescent="0.15">
      <c r="A416">
        <v>5137573</v>
      </c>
      <c r="B416" t="s">
        <v>1252</v>
      </c>
      <c r="C416" s="1">
        <v>41470</v>
      </c>
      <c r="D416">
        <v>2</v>
      </c>
      <c r="F416" t="s">
        <v>1253</v>
      </c>
      <c r="G416" t="s">
        <v>65</v>
      </c>
      <c r="H416" t="s">
        <v>18</v>
      </c>
      <c r="I416" t="s">
        <v>1254</v>
      </c>
      <c r="J416" t="str">
        <f>"9781292023212"</f>
        <v>9781292023212</v>
      </c>
      <c r="K416" t="str">
        <f>"9781292036397"</f>
        <v>9781292036397</v>
      </c>
      <c r="L416" t="s">
        <v>25</v>
      </c>
      <c r="M416" t="s">
        <v>15</v>
      </c>
    </row>
    <row r="417" spans="1:13" x14ac:dyDescent="0.15">
      <c r="A417">
        <v>5137577</v>
      </c>
      <c r="B417" t="s">
        <v>1255</v>
      </c>
      <c r="C417" s="1">
        <v>41472</v>
      </c>
      <c r="D417">
        <v>4</v>
      </c>
      <c r="F417" t="s">
        <v>1256</v>
      </c>
      <c r="G417" t="s">
        <v>36</v>
      </c>
      <c r="H417" t="s">
        <v>18</v>
      </c>
      <c r="I417" t="s">
        <v>1257</v>
      </c>
      <c r="J417" t="str">
        <f>"9781292021584"</f>
        <v>9781292021584</v>
      </c>
      <c r="K417" t="str">
        <f>"9781292034812"</f>
        <v>9781292034812</v>
      </c>
      <c r="L417" t="s">
        <v>25</v>
      </c>
      <c r="M417" t="s">
        <v>15</v>
      </c>
    </row>
    <row r="418" spans="1:13" x14ac:dyDescent="0.15">
      <c r="A418">
        <v>5137578</v>
      </c>
      <c r="B418" t="s">
        <v>1258</v>
      </c>
      <c r="C418" s="1">
        <v>41579</v>
      </c>
      <c r="D418">
        <v>5</v>
      </c>
      <c r="F418" t="s">
        <v>1259</v>
      </c>
      <c r="G418" t="s">
        <v>27</v>
      </c>
      <c r="H418" t="s">
        <v>18</v>
      </c>
      <c r="I418" t="s">
        <v>1260</v>
      </c>
      <c r="J418" t="str">
        <f>"9781292041148"</f>
        <v>9781292041148</v>
      </c>
      <c r="K418" t="str">
        <f>"9781292052496"</f>
        <v>9781292052496</v>
      </c>
      <c r="L418" t="s">
        <v>25</v>
      </c>
      <c r="M418" t="s">
        <v>15</v>
      </c>
    </row>
    <row r="419" spans="1:13" x14ac:dyDescent="0.15">
      <c r="A419">
        <v>5137581</v>
      </c>
      <c r="B419" t="s">
        <v>1261</v>
      </c>
      <c r="C419" s="1">
        <v>41488</v>
      </c>
      <c r="D419">
        <v>7</v>
      </c>
      <c r="F419" t="s">
        <v>1262</v>
      </c>
      <c r="G419" t="s">
        <v>351</v>
      </c>
      <c r="H419" t="s">
        <v>18</v>
      </c>
      <c r="I419" t="s">
        <v>1263</v>
      </c>
      <c r="J419" t="str">
        <f>"9781292020600"</f>
        <v>9781292020600</v>
      </c>
      <c r="K419" t="str">
        <f>"9781292033884"</f>
        <v>9781292033884</v>
      </c>
      <c r="L419" t="s">
        <v>25</v>
      </c>
      <c r="M419" t="s">
        <v>15</v>
      </c>
    </row>
    <row r="420" spans="1:13" x14ac:dyDescent="0.15">
      <c r="A420">
        <v>5137584</v>
      </c>
      <c r="B420" t="s">
        <v>1264</v>
      </c>
      <c r="C420" s="1">
        <v>41353</v>
      </c>
      <c r="D420">
        <v>8</v>
      </c>
      <c r="F420" t="s">
        <v>1265</v>
      </c>
      <c r="H420" t="s">
        <v>18</v>
      </c>
      <c r="I420" t="s">
        <v>1266</v>
      </c>
      <c r="J420" t="str">
        <f>""</f>
        <v/>
      </c>
      <c r="K420" t="str">
        <f>"9780273774228"</f>
        <v>9780273774228</v>
      </c>
      <c r="L420" t="s">
        <v>25</v>
      </c>
      <c r="M420" t="s">
        <v>298</v>
      </c>
    </row>
    <row r="421" spans="1:13" x14ac:dyDescent="0.15">
      <c r="A421">
        <v>5137593</v>
      </c>
      <c r="B421" t="s">
        <v>1267</v>
      </c>
      <c r="C421" s="1">
        <v>41579</v>
      </c>
      <c r="D421">
        <v>3</v>
      </c>
      <c r="F421" t="s">
        <v>1268</v>
      </c>
      <c r="G421" t="s">
        <v>1088</v>
      </c>
      <c r="H421" t="s">
        <v>18</v>
      </c>
      <c r="I421" t="s">
        <v>1269</v>
      </c>
      <c r="J421" t="str">
        <f>"9781292040042"</f>
        <v>9781292040042</v>
      </c>
      <c r="K421" t="str">
        <f>"9781292052526"</f>
        <v>9781292052526</v>
      </c>
      <c r="L421" t="s">
        <v>25</v>
      </c>
      <c r="M421" t="s">
        <v>15</v>
      </c>
    </row>
    <row r="422" spans="1:13" x14ac:dyDescent="0.15">
      <c r="A422">
        <v>5137595</v>
      </c>
      <c r="B422" t="s">
        <v>485</v>
      </c>
      <c r="C422" s="1">
        <v>41493</v>
      </c>
      <c r="D422">
        <v>4</v>
      </c>
      <c r="F422" t="s">
        <v>1270</v>
      </c>
      <c r="G422" t="s">
        <v>27</v>
      </c>
      <c r="H422" t="s">
        <v>18</v>
      </c>
      <c r="I422" t="s">
        <v>1271</v>
      </c>
      <c r="J422" t="str">
        <f>"9781292021126"</f>
        <v>9781292021126</v>
      </c>
      <c r="K422" t="str">
        <f>"9781292034379"</f>
        <v>9781292034379</v>
      </c>
      <c r="L422" t="s">
        <v>25</v>
      </c>
      <c r="M422" t="s">
        <v>15</v>
      </c>
    </row>
    <row r="423" spans="1:13" x14ac:dyDescent="0.15">
      <c r="A423">
        <v>5137598</v>
      </c>
      <c r="B423" t="s">
        <v>1272</v>
      </c>
      <c r="C423" s="1">
        <v>41122</v>
      </c>
      <c r="D423">
        <v>4</v>
      </c>
      <c r="F423" t="s">
        <v>1273</v>
      </c>
      <c r="G423" t="s">
        <v>189</v>
      </c>
      <c r="H423" t="s">
        <v>18</v>
      </c>
      <c r="I423" t="s">
        <v>1274</v>
      </c>
      <c r="J423" t="str">
        <f>"9780273719779"</f>
        <v>9780273719779</v>
      </c>
      <c r="K423" t="str">
        <f>"9780273719878"</f>
        <v>9780273719878</v>
      </c>
      <c r="L423" t="s">
        <v>25</v>
      </c>
      <c r="M423" t="s">
        <v>15</v>
      </c>
    </row>
    <row r="424" spans="1:13" x14ac:dyDescent="0.15">
      <c r="A424">
        <v>5137604</v>
      </c>
      <c r="B424" t="s">
        <v>1275</v>
      </c>
      <c r="C424" s="1">
        <v>41515</v>
      </c>
      <c r="D424">
        <v>3</v>
      </c>
      <c r="F424" t="s">
        <v>1276</v>
      </c>
      <c r="H424" t="s">
        <v>18</v>
      </c>
      <c r="I424" t="s">
        <v>1277</v>
      </c>
      <c r="J424" t="str">
        <f>"9781292026527"</f>
        <v>9781292026527</v>
      </c>
      <c r="K424" t="str">
        <f>"9781292038919"</f>
        <v>9781292038919</v>
      </c>
      <c r="L424" t="s">
        <v>25</v>
      </c>
      <c r="M424" t="s">
        <v>15</v>
      </c>
    </row>
    <row r="425" spans="1:13" x14ac:dyDescent="0.15">
      <c r="A425">
        <v>5137605</v>
      </c>
      <c r="B425" t="s">
        <v>1278</v>
      </c>
      <c r="C425" s="1">
        <v>40914</v>
      </c>
      <c r="D425">
        <v>1</v>
      </c>
      <c r="F425" t="s">
        <v>1279</v>
      </c>
      <c r="G425" t="s">
        <v>117</v>
      </c>
      <c r="H425" t="s">
        <v>18</v>
      </c>
      <c r="I425" t="s">
        <v>1280</v>
      </c>
      <c r="J425" t="str">
        <f>"9781408266670"</f>
        <v>9781408266670</v>
      </c>
      <c r="K425" t="str">
        <f>"9781408266687"</f>
        <v>9781408266687</v>
      </c>
      <c r="L425" t="s">
        <v>25</v>
      </c>
      <c r="M425" t="s">
        <v>147</v>
      </c>
    </row>
    <row r="426" spans="1:13" x14ac:dyDescent="0.15">
      <c r="A426">
        <v>5137611</v>
      </c>
      <c r="B426" t="s">
        <v>1281</v>
      </c>
      <c r="C426" s="1">
        <v>41456</v>
      </c>
      <c r="D426">
        <v>1</v>
      </c>
      <c r="F426" t="s">
        <v>1282</v>
      </c>
      <c r="G426" t="s">
        <v>202</v>
      </c>
      <c r="H426" t="s">
        <v>18</v>
      </c>
      <c r="I426" t="s">
        <v>1283</v>
      </c>
      <c r="J426" t="str">
        <f>"9780273774662"</f>
        <v>9780273774662</v>
      </c>
      <c r="K426" t="str">
        <f>"9780273774716"</f>
        <v>9780273774716</v>
      </c>
      <c r="L426" t="s">
        <v>25</v>
      </c>
      <c r="M426" t="s">
        <v>15</v>
      </c>
    </row>
    <row r="427" spans="1:13" x14ac:dyDescent="0.15">
      <c r="A427">
        <v>5137612</v>
      </c>
      <c r="B427" t="s">
        <v>1284</v>
      </c>
      <c r="C427" s="1">
        <v>41579</v>
      </c>
      <c r="D427">
        <v>11</v>
      </c>
      <c r="F427" t="s">
        <v>1285</v>
      </c>
      <c r="G427" t="s">
        <v>1286</v>
      </c>
      <c r="H427" t="s">
        <v>18</v>
      </c>
      <c r="I427" t="s">
        <v>1287</v>
      </c>
      <c r="J427" t="str">
        <f>"9781292026886"</f>
        <v>9781292026886</v>
      </c>
      <c r="K427" t="str">
        <f>"9781292052571"</f>
        <v>9781292052571</v>
      </c>
      <c r="L427" t="s">
        <v>25</v>
      </c>
      <c r="M427" t="s">
        <v>15</v>
      </c>
    </row>
    <row r="428" spans="1:13" x14ac:dyDescent="0.15">
      <c r="A428">
        <v>5137623</v>
      </c>
      <c r="B428" t="s">
        <v>1145</v>
      </c>
      <c r="C428" s="1">
        <v>41000</v>
      </c>
      <c r="D428">
        <v>1</v>
      </c>
      <c r="F428" t="s">
        <v>1288</v>
      </c>
      <c r="G428" t="s">
        <v>36</v>
      </c>
      <c r="H428" t="s">
        <v>18</v>
      </c>
      <c r="I428" t="s">
        <v>1289</v>
      </c>
      <c r="J428" t="str">
        <f>"9780273723073"</f>
        <v>9780273723073</v>
      </c>
      <c r="K428" t="str">
        <f>"9780273723110"</f>
        <v>9780273723110</v>
      </c>
      <c r="L428" t="s">
        <v>25</v>
      </c>
      <c r="M428" t="s">
        <v>15</v>
      </c>
    </row>
    <row r="429" spans="1:13" x14ac:dyDescent="0.15">
      <c r="A429">
        <v>5137625</v>
      </c>
      <c r="B429" t="s">
        <v>1290</v>
      </c>
      <c r="C429" s="1">
        <v>41484</v>
      </c>
      <c r="D429">
        <v>6</v>
      </c>
      <c r="F429" t="s">
        <v>1291</v>
      </c>
      <c r="G429" t="s">
        <v>27</v>
      </c>
      <c r="H429" t="s">
        <v>18</v>
      </c>
      <c r="I429" t="s">
        <v>1292</v>
      </c>
      <c r="J429" t="str">
        <f>"9781292021928"</f>
        <v>9781292021928</v>
      </c>
      <c r="K429" t="str">
        <f>"9781292035130"</f>
        <v>9781292035130</v>
      </c>
      <c r="L429" t="s">
        <v>25</v>
      </c>
      <c r="M429" t="s">
        <v>15</v>
      </c>
    </row>
    <row r="430" spans="1:13" x14ac:dyDescent="0.15">
      <c r="A430">
        <v>5137626</v>
      </c>
      <c r="B430" t="s">
        <v>1293</v>
      </c>
      <c r="C430" s="1">
        <v>41501</v>
      </c>
      <c r="D430">
        <v>2</v>
      </c>
      <c r="F430" t="s">
        <v>1294</v>
      </c>
      <c r="G430" t="s">
        <v>117</v>
      </c>
      <c r="H430" t="s">
        <v>18</v>
      </c>
      <c r="I430" t="s">
        <v>1295</v>
      </c>
      <c r="J430" t="str">
        <f>"9780273783398"</f>
        <v>9780273783398</v>
      </c>
      <c r="K430" t="str">
        <f>"9780273783428"</f>
        <v>9780273783428</v>
      </c>
      <c r="L430" t="s">
        <v>25</v>
      </c>
      <c r="M430" t="s">
        <v>15</v>
      </c>
    </row>
    <row r="431" spans="1:13" x14ac:dyDescent="0.15">
      <c r="A431">
        <v>5137628</v>
      </c>
      <c r="B431" t="s">
        <v>1296</v>
      </c>
      <c r="C431" s="1">
        <v>41512</v>
      </c>
      <c r="D431">
        <v>1</v>
      </c>
      <c r="F431" t="s">
        <v>1297</v>
      </c>
      <c r="G431" t="s">
        <v>65</v>
      </c>
      <c r="H431" t="s">
        <v>18</v>
      </c>
      <c r="I431" t="s">
        <v>1298</v>
      </c>
      <c r="J431" t="str">
        <f>"9781292027647"</f>
        <v>9781292027647</v>
      </c>
      <c r="K431" t="str">
        <f>"9781292052588"</f>
        <v>9781292052588</v>
      </c>
      <c r="L431" t="s">
        <v>25</v>
      </c>
      <c r="M431" t="s">
        <v>15</v>
      </c>
    </row>
    <row r="432" spans="1:13" x14ac:dyDescent="0.15">
      <c r="A432">
        <v>5137634</v>
      </c>
      <c r="B432" t="s">
        <v>1299</v>
      </c>
      <c r="C432" s="1">
        <v>39541</v>
      </c>
      <c r="D432">
        <v>1</v>
      </c>
      <c r="F432" t="s">
        <v>1300</v>
      </c>
      <c r="G432" t="s">
        <v>36</v>
      </c>
      <c r="H432" t="s">
        <v>18</v>
      </c>
      <c r="I432" t="s">
        <v>1301</v>
      </c>
      <c r="J432" t="str">
        <f>"9780273703839"</f>
        <v>9780273703839</v>
      </c>
      <c r="K432" t="str">
        <f>"9780273732280"</f>
        <v>9780273732280</v>
      </c>
      <c r="L432" t="s">
        <v>25</v>
      </c>
      <c r="M432" t="s">
        <v>39</v>
      </c>
    </row>
    <row r="433" spans="1:13" x14ac:dyDescent="0.15">
      <c r="A433">
        <v>5137637</v>
      </c>
      <c r="B433" t="s">
        <v>1302</v>
      </c>
      <c r="C433" s="1">
        <v>41514</v>
      </c>
      <c r="D433">
        <v>3</v>
      </c>
      <c r="F433" t="s">
        <v>1303</v>
      </c>
      <c r="H433" t="s">
        <v>18</v>
      </c>
      <c r="I433" t="s">
        <v>1304</v>
      </c>
      <c r="J433" t="str">
        <f>"9781292022451"</f>
        <v>9781292022451</v>
      </c>
      <c r="K433" t="str">
        <f>"9781292035659"</f>
        <v>9781292035659</v>
      </c>
      <c r="L433" t="s">
        <v>25</v>
      </c>
      <c r="M433" t="s">
        <v>15</v>
      </c>
    </row>
    <row r="434" spans="1:13" x14ac:dyDescent="0.15">
      <c r="A434">
        <v>5137638</v>
      </c>
      <c r="B434" t="s">
        <v>1305</v>
      </c>
      <c r="C434" s="1">
        <v>41484</v>
      </c>
      <c r="D434">
        <v>4</v>
      </c>
      <c r="F434" t="s">
        <v>1306</v>
      </c>
      <c r="G434" t="s">
        <v>189</v>
      </c>
      <c r="H434" t="s">
        <v>18</v>
      </c>
      <c r="I434" t="s">
        <v>1307</v>
      </c>
      <c r="J434" t="str">
        <f>"9781292022505"</f>
        <v>9781292022505</v>
      </c>
      <c r="K434" t="str">
        <f>"9781292035703"</f>
        <v>9781292035703</v>
      </c>
      <c r="L434" t="s">
        <v>25</v>
      </c>
      <c r="M434" t="s">
        <v>15</v>
      </c>
    </row>
    <row r="435" spans="1:13" x14ac:dyDescent="0.15">
      <c r="A435">
        <v>5137641</v>
      </c>
      <c r="B435" t="s">
        <v>1308</v>
      </c>
      <c r="C435" s="1">
        <v>40544</v>
      </c>
      <c r="D435">
        <v>2</v>
      </c>
      <c r="F435" t="s">
        <v>1309</v>
      </c>
      <c r="G435" t="s">
        <v>344</v>
      </c>
      <c r="H435" t="s">
        <v>18</v>
      </c>
      <c r="I435" t="s">
        <v>1310</v>
      </c>
      <c r="J435" t="str">
        <f>"9780273731184"</f>
        <v>9780273731184</v>
      </c>
      <c r="K435" t="str">
        <f>"9780273731191"</f>
        <v>9780273731191</v>
      </c>
      <c r="L435" t="s">
        <v>25</v>
      </c>
      <c r="M435" t="s">
        <v>112</v>
      </c>
    </row>
    <row r="436" spans="1:13" x14ac:dyDescent="0.15">
      <c r="A436">
        <v>5137642</v>
      </c>
      <c r="B436" t="s">
        <v>1311</v>
      </c>
      <c r="C436" s="1">
        <v>40297</v>
      </c>
      <c r="D436">
        <v>1</v>
      </c>
      <c r="F436" t="s">
        <v>1312</v>
      </c>
      <c r="G436" t="s">
        <v>946</v>
      </c>
      <c r="H436" t="s">
        <v>18</v>
      </c>
      <c r="I436" t="s">
        <v>1313</v>
      </c>
      <c r="J436" t="str">
        <f>"9781408236987"</f>
        <v>9781408236987</v>
      </c>
      <c r="K436" t="str">
        <f>"9781408237014"</f>
        <v>9781408237014</v>
      </c>
      <c r="L436" t="s">
        <v>25</v>
      </c>
      <c r="M436" t="s">
        <v>147</v>
      </c>
    </row>
    <row r="437" spans="1:13" x14ac:dyDescent="0.15">
      <c r="A437">
        <v>5137643</v>
      </c>
      <c r="B437" t="s">
        <v>1314</v>
      </c>
      <c r="C437" s="1">
        <v>40422</v>
      </c>
      <c r="D437">
        <v>1</v>
      </c>
      <c r="F437" t="s">
        <v>1315</v>
      </c>
      <c r="G437" t="s">
        <v>1316</v>
      </c>
      <c r="H437" t="s">
        <v>18</v>
      </c>
      <c r="I437" t="s">
        <v>1317</v>
      </c>
      <c r="J437" t="str">
        <f>"9781408236970"</f>
        <v>9781408236970</v>
      </c>
      <c r="K437" t="str">
        <f>"9781408237007"</f>
        <v>9781408237007</v>
      </c>
      <c r="L437" t="s">
        <v>25</v>
      </c>
      <c r="M437" t="s">
        <v>147</v>
      </c>
    </row>
    <row r="438" spans="1:13" x14ac:dyDescent="0.15">
      <c r="A438">
        <v>5137644</v>
      </c>
      <c r="B438" t="s">
        <v>1318</v>
      </c>
      <c r="C438" s="1">
        <v>41492</v>
      </c>
      <c r="D438">
        <v>7</v>
      </c>
      <c r="F438" t="s">
        <v>1319</v>
      </c>
      <c r="G438" t="s">
        <v>395</v>
      </c>
      <c r="H438" t="s">
        <v>18</v>
      </c>
      <c r="I438" t="s">
        <v>1320</v>
      </c>
      <c r="J438" t="str">
        <f>"9781292022840"</f>
        <v>9781292022840</v>
      </c>
      <c r="K438" t="str">
        <f>"9781292036038"</f>
        <v>9781292036038</v>
      </c>
      <c r="L438" t="s">
        <v>25</v>
      </c>
      <c r="M438" t="s">
        <v>15</v>
      </c>
    </row>
    <row r="439" spans="1:13" x14ac:dyDescent="0.15">
      <c r="A439">
        <v>5137645</v>
      </c>
      <c r="B439" t="s">
        <v>1321</v>
      </c>
      <c r="C439" s="1">
        <v>41485</v>
      </c>
      <c r="D439">
        <v>4</v>
      </c>
      <c r="F439" t="s">
        <v>1322</v>
      </c>
      <c r="G439" t="s">
        <v>189</v>
      </c>
      <c r="H439" t="s">
        <v>18</v>
      </c>
      <c r="I439" t="s">
        <v>1323</v>
      </c>
      <c r="J439" t="str">
        <f>"9781292025049"</f>
        <v>9781292025049</v>
      </c>
      <c r="K439" t="str">
        <f>"9781292037677"</f>
        <v>9781292037677</v>
      </c>
      <c r="L439" t="s">
        <v>25</v>
      </c>
      <c r="M439" t="s">
        <v>15</v>
      </c>
    </row>
    <row r="440" spans="1:13" x14ac:dyDescent="0.15">
      <c r="A440">
        <v>5137654</v>
      </c>
      <c r="B440" t="s">
        <v>1324</v>
      </c>
      <c r="C440" s="1">
        <v>41515</v>
      </c>
      <c r="D440">
        <v>1</v>
      </c>
      <c r="F440" t="s">
        <v>1325</v>
      </c>
      <c r="G440" t="s">
        <v>304</v>
      </c>
      <c r="H440" t="s">
        <v>18</v>
      </c>
      <c r="I440" t="s">
        <v>1326</v>
      </c>
      <c r="J440" t="str">
        <f>"9781292039725"</f>
        <v>9781292039725</v>
      </c>
      <c r="K440" t="str">
        <f>"9781292052625"</f>
        <v>9781292052625</v>
      </c>
      <c r="L440" t="s">
        <v>25</v>
      </c>
      <c r="M440" t="s">
        <v>15</v>
      </c>
    </row>
    <row r="441" spans="1:13" x14ac:dyDescent="0.15">
      <c r="A441">
        <v>5137670</v>
      </c>
      <c r="B441" t="s">
        <v>1327</v>
      </c>
      <c r="C441" s="1">
        <v>41215</v>
      </c>
      <c r="D441">
        <v>1</v>
      </c>
      <c r="F441" t="s">
        <v>1328</v>
      </c>
      <c r="G441" t="s">
        <v>36</v>
      </c>
      <c r="H441" t="s">
        <v>18</v>
      </c>
      <c r="I441" t="s">
        <v>1329</v>
      </c>
      <c r="J441" t="str">
        <f>"9780273744887"</f>
        <v>9780273744887</v>
      </c>
      <c r="K441" t="str">
        <f>"9780273744894"</f>
        <v>9780273744894</v>
      </c>
      <c r="L441" t="s">
        <v>25</v>
      </c>
      <c r="M441" t="s">
        <v>112</v>
      </c>
    </row>
    <row r="442" spans="1:13" x14ac:dyDescent="0.15">
      <c r="A442">
        <v>5137671</v>
      </c>
      <c r="B442" t="s">
        <v>1327</v>
      </c>
      <c r="C442" s="1">
        <v>41523</v>
      </c>
      <c r="D442">
        <v>2</v>
      </c>
      <c r="F442" t="s">
        <v>1328</v>
      </c>
      <c r="G442" t="s">
        <v>36</v>
      </c>
      <c r="H442" t="s">
        <v>18</v>
      </c>
      <c r="I442" t="s">
        <v>1330</v>
      </c>
      <c r="J442" t="str">
        <f>"9781447921998"</f>
        <v>9781447921998</v>
      </c>
      <c r="K442" t="str">
        <f>"9781447922223"</f>
        <v>9781447922223</v>
      </c>
      <c r="L442" t="s">
        <v>25</v>
      </c>
      <c r="M442" t="s">
        <v>15</v>
      </c>
    </row>
    <row r="443" spans="1:13" x14ac:dyDescent="0.15">
      <c r="A443">
        <v>5137675</v>
      </c>
      <c r="B443" t="s">
        <v>1331</v>
      </c>
      <c r="C443" s="1">
        <v>41584</v>
      </c>
      <c r="D443">
        <v>4</v>
      </c>
      <c r="F443" t="s">
        <v>1332</v>
      </c>
      <c r="H443" t="s">
        <v>18</v>
      </c>
      <c r="I443" t="s">
        <v>1333</v>
      </c>
      <c r="J443" t="str">
        <f>""</f>
        <v/>
      </c>
      <c r="K443" t="str">
        <f>"9780273782568"</f>
        <v>9780273782568</v>
      </c>
      <c r="L443" t="s">
        <v>25</v>
      </c>
      <c r="M443" t="s">
        <v>298</v>
      </c>
    </row>
    <row r="444" spans="1:13" x14ac:dyDescent="0.15">
      <c r="A444">
        <v>5137678</v>
      </c>
      <c r="B444" t="s">
        <v>1334</v>
      </c>
      <c r="C444" s="1">
        <v>41579</v>
      </c>
      <c r="D444">
        <v>3</v>
      </c>
      <c r="F444" t="s">
        <v>1335</v>
      </c>
      <c r="G444" t="s">
        <v>27</v>
      </c>
      <c r="H444" t="s">
        <v>18</v>
      </c>
      <c r="I444" t="s">
        <v>1336</v>
      </c>
      <c r="J444" t="str">
        <f>"9781292040073"</f>
        <v>9781292040073</v>
      </c>
      <c r="K444" t="str">
        <f>"9781292052694"</f>
        <v>9781292052694</v>
      </c>
      <c r="L444" t="s">
        <v>25</v>
      </c>
      <c r="M444" t="s">
        <v>15</v>
      </c>
    </row>
    <row r="445" spans="1:13" x14ac:dyDescent="0.15">
      <c r="A445">
        <v>5137679</v>
      </c>
      <c r="B445" t="s">
        <v>1337</v>
      </c>
      <c r="C445" s="1">
        <v>41513</v>
      </c>
      <c r="D445">
        <v>3</v>
      </c>
      <c r="F445" t="s">
        <v>1338</v>
      </c>
      <c r="G445" t="s">
        <v>202</v>
      </c>
      <c r="H445" t="s">
        <v>18</v>
      </c>
      <c r="I445" t="s">
        <v>1339</v>
      </c>
      <c r="J445" t="str">
        <f>"9781292039282"</f>
        <v>9781292039282</v>
      </c>
      <c r="K445" t="str">
        <f>"9781292052700"</f>
        <v>9781292052700</v>
      </c>
      <c r="L445" t="s">
        <v>25</v>
      </c>
      <c r="M445" t="s">
        <v>15</v>
      </c>
    </row>
    <row r="446" spans="1:13" x14ac:dyDescent="0.15">
      <c r="A446">
        <v>5137688</v>
      </c>
      <c r="B446" t="s">
        <v>223</v>
      </c>
      <c r="C446" s="1">
        <v>41473</v>
      </c>
      <c r="D446">
        <v>5</v>
      </c>
      <c r="F446" t="s">
        <v>1340</v>
      </c>
      <c r="G446" t="s">
        <v>189</v>
      </c>
      <c r="H446" t="s">
        <v>18</v>
      </c>
      <c r="I446" t="s">
        <v>1341</v>
      </c>
      <c r="J446" t="str">
        <f>"9781292023816"</f>
        <v>9781292023816</v>
      </c>
      <c r="K446" t="str">
        <f>"9781292036946"</f>
        <v>9781292036946</v>
      </c>
      <c r="L446" t="s">
        <v>25</v>
      </c>
      <c r="M446" t="s">
        <v>15</v>
      </c>
    </row>
    <row r="447" spans="1:13" x14ac:dyDescent="0.15">
      <c r="A447">
        <v>5137689</v>
      </c>
      <c r="B447" t="s">
        <v>420</v>
      </c>
      <c r="C447" s="1">
        <v>41579</v>
      </c>
      <c r="D447">
        <v>4</v>
      </c>
      <c r="F447" t="s">
        <v>1340</v>
      </c>
      <c r="G447" t="s">
        <v>189</v>
      </c>
      <c r="H447" t="s">
        <v>18</v>
      </c>
      <c r="I447" t="s">
        <v>1342</v>
      </c>
      <c r="J447" t="str">
        <f>"9781292039848"</f>
        <v>9781292039848</v>
      </c>
      <c r="K447" t="str">
        <f>"9781292052748"</f>
        <v>9781292052748</v>
      </c>
      <c r="L447" t="s">
        <v>25</v>
      </c>
      <c r="M447" t="s">
        <v>15</v>
      </c>
    </row>
    <row r="448" spans="1:13" x14ac:dyDescent="0.15">
      <c r="A448">
        <v>5137690</v>
      </c>
      <c r="B448" t="s">
        <v>1343</v>
      </c>
      <c r="C448" s="1">
        <v>41579</v>
      </c>
      <c r="D448">
        <v>3</v>
      </c>
      <c r="F448" t="s">
        <v>1340</v>
      </c>
      <c r="G448" t="s">
        <v>189</v>
      </c>
      <c r="H448" t="s">
        <v>18</v>
      </c>
      <c r="I448" t="s">
        <v>1344</v>
      </c>
      <c r="J448" t="str">
        <f>"9781292027746"</f>
        <v>9781292027746</v>
      </c>
      <c r="K448" t="str">
        <f>"9781292052731"</f>
        <v>9781292052731</v>
      </c>
      <c r="L448" t="s">
        <v>25</v>
      </c>
      <c r="M448" t="s">
        <v>15</v>
      </c>
    </row>
    <row r="449" spans="1:13" x14ac:dyDescent="0.15">
      <c r="A449">
        <v>5137693</v>
      </c>
      <c r="B449" t="s">
        <v>1345</v>
      </c>
      <c r="C449" s="1">
        <v>41579</v>
      </c>
      <c r="D449">
        <v>3</v>
      </c>
      <c r="F449" t="s">
        <v>1346</v>
      </c>
      <c r="G449" t="s">
        <v>946</v>
      </c>
      <c r="H449" t="s">
        <v>18</v>
      </c>
      <c r="I449" t="s">
        <v>1347</v>
      </c>
      <c r="J449" t="str">
        <f>"9781292026916"</f>
        <v>9781292026916</v>
      </c>
      <c r="K449" t="str">
        <f>"9781292052755"</f>
        <v>9781292052755</v>
      </c>
      <c r="L449" t="s">
        <v>25</v>
      </c>
      <c r="M449" t="s">
        <v>15</v>
      </c>
    </row>
    <row r="450" spans="1:13" x14ac:dyDescent="0.15">
      <c r="A450">
        <v>5137694</v>
      </c>
      <c r="B450" t="s">
        <v>1348</v>
      </c>
      <c r="C450" s="1">
        <v>41579</v>
      </c>
      <c r="D450">
        <v>14</v>
      </c>
      <c r="F450" t="s">
        <v>1349</v>
      </c>
      <c r="G450" t="s">
        <v>1286</v>
      </c>
      <c r="H450" t="s">
        <v>18</v>
      </c>
      <c r="I450" t="s">
        <v>1350</v>
      </c>
      <c r="J450" t="str">
        <f>"9781292026923"</f>
        <v>9781292026923</v>
      </c>
      <c r="K450" t="str">
        <f>"9781292052762"</f>
        <v>9781292052762</v>
      </c>
      <c r="L450" t="s">
        <v>25</v>
      </c>
      <c r="M450" t="s">
        <v>15</v>
      </c>
    </row>
    <row r="451" spans="1:13" x14ac:dyDescent="0.15">
      <c r="A451">
        <v>5137697</v>
      </c>
      <c r="B451" t="s">
        <v>1351</v>
      </c>
      <c r="C451" s="1">
        <v>40603</v>
      </c>
      <c r="D451">
        <v>1</v>
      </c>
      <c r="F451" t="s">
        <v>1352</v>
      </c>
      <c r="G451" t="s">
        <v>36</v>
      </c>
      <c r="H451" t="s">
        <v>18</v>
      </c>
      <c r="I451" t="s">
        <v>1353</v>
      </c>
      <c r="J451" t="str">
        <f>"9780273727224"</f>
        <v>9780273727224</v>
      </c>
      <c r="K451" t="str">
        <f>"9780273727231"</f>
        <v>9780273727231</v>
      </c>
      <c r="L451" t="s">
        <v>25</v>
      </c>
      <c r="M451" t="s">
        <v>15</v>
      </c>
    </row>
    <row r="452" spans="1:13" x14ac:dyDescent="0.15">
      <c r="A452">
        <v>5137699</v>
      </c>
      <c r="B452" t="s">
        <v>1354</v>
      </c>
      <c r="C452" s="1">
        <v>41484</v>
      </c>
      <c r="D452">
        <v>6</v>
      </c>
      <c r="F452" t="s">
        <v>1355</v>
      </c>
      <c r="G452" t="s">
        <v>189</v>
      </c>
      <c r="H452" t="s">
        <v>18</v>
      </c>
      <c r="I452" t="s">
        <v>1356</v>
      </c>
      <c r="J452" t="str">
        <f>"9781292025339"</f>
        <v>9781292025339</v>
      </c>
      <c r="K452" t="str">
        <f>"9781292037899"</f>
        <v>9781292037899</v>
      </c>
      <c r="L452" t="s">
        <v>25</v>
      </c>
      <c r="M452" t="s">
        <v>15</v>
      </c>
    </row>
    <row r="453" spans="1:13" x14ac:dyDescent="0.15">
      <c r="A453">
        <v>5137700</v>
      </c>
      <c r="B453" t="s">
        <v>1357</v>
      </c>
      <c r="C453" s="1">
        <v>41513</v>
      </c>
      <c r="D453">
        <v>3</v>
      </c>
      <c r="F453" t="s">
        <v>1355</v>
      </c>
      <c r="G453" t="s">
        <v>189</v>
      </c>
      <c r="H453" t="s">
        <v>18</v>
      </c>
      <c r="I453" t="s">
        <v>1358</v>
      </c>
      <c r="J453" t="str">
        <f>"9781292039084"</f>
        <v>9781292039084</v>
      </c>
      <c r="K453" t="str">
        <f>"9781292052809"</f>
        <v>9781292052809</v>
      </c>
      <c r="L453" t="s">
        <v>25</v>
      </c>
      <c r="M453" t="s">
        <v>15</v>
      </c>
    </row>
    <row r="454" spans="1:13" x14ac:dyDescent="0.15">
      <c r="A454">
        <v>5137701</v>
      </c>
      <c r="B454" t="s">
        <v>1359</v>
      </c>
      <c r="C454" s="1">
        <v>41480</v>
      </c>
      <c r="D454">
        <v>7</v>
      </c>
      <c r="F454" t="s">
        <v>1360</v>
      </c>
      <c r="G454" t="s">
        <v>189</v>
      </c>
      <c r="H454" t="s">
        <v>18</v>
      </c>
      <c r="I454" t="s">
        <v>1361</v>
      </c>
      <c r="J454" t="str">
        <f>"9781292022178"</f>
        <v>9781292022178</v>
      </c>
      <c r="K454" t="str">
        <f>"9781292035376"</f>
        <v>9781292035376</v>
      </c>
      <c r="L454" t="s">
        <v>25</v>
      </c>
      <c r="M454" t="s">
        <v>15</v>
      </c>
    </row>
    <row r="455" spans="1:13" x14ac:dyDescent="0.15">
      <c r="A455">
        <v>5137702</v>
      </c>
      <c r="B455" t="s">
        <v>1362</v>
      </c>
      <c r="C455" s="1">
        <v>41579</v>
      </c>
      <c r="D455">
        <v>5</v>
      </c>
      <c r="F455" t="s">
        <v>1363</v>
      </c>
      <c r="G455" t="s">
        <v>27</v>
      </c>
      <c r="H455" t="s">
        <v>18</v>
      </c>
      <c r="I455" t="s">
        <v>1364</v>
      </c>
      <c r="J455" t="str">
        <f>"9781292041261"</f>
        <v>9781292041261</v>
      </c>
      <c r="K455" t="str">
        <f>"9781292052786"</f>
        <v>9781292052786</v>
      </c>
      <c r="L455" t="s">
        <v>25</v>
      </c>
      <c r="M455" t="s">
        <v>15</v>
      </c>
    </row>
    <row r="456" spans="1:13" x14ac:dyDescent="0.15">
      <c r="A456">
        <v>5137707</v>
      </c>
      <c r="B456" t="s">
        <v>1365</v>
      </c>
      <c r="C456" s="1">
        <v>40567</v>
      </c>
      <c r="D456">
        <v>1</v>
      </c>
      <c r="F456" t="s">
        <v>1366</v>
      </c>
      <c r="H456" t="s">
        <v>18</v>
      </c>
      <c r="I456" t="s">
        <v>1367</v>
      </c>
      <c r="J456" t="str">
        <f>"9780133526950"</f>
        <v>9780133526950</v>
      </c>
      <c r="K456" t="str">
        <f>"9780273740759"</f>
        <v>9780273740759</v>
      </c>
      <c r="L456" t="s">
        <v>25</v>
      </c>
      <c r="M456" t="s">
        <v>112</v>
      </c>
    </row>
    <row r="457" spans="1:13" x14ac:dyDescent="0.15">
      <c r="A457">
        <v>5137710</v>
      </c>
      <c r="B457" t="s">
        <v>1368</v>
      </c>
      <c r="C457" s="1">
        <v>41579</v>
      </c>
      <c r="D457">
        <v>1</v>
      </c>
      <c r="F457" t="s">
        <v>1369</v>
      </c>
      <c r="G457" t="s">
        <v>806</v>
      </c>
      <c r="H457" t="s">
        <v>18</v>
      </c>
      <c r="I457" t="s">
        <v>1370</v>
      </c>
      <c r="J457" t="str">
        <f>"9781292040776"</f>
        <v>9781292040776</v>
      </c>
      <c r="K457" t="str">
        <f>"9781292052816"</f>
        <v>9781292052816</v>
      </c>
      <c r="L457" t="s">
        <v>25</v>
      </c>
      <c r="M457" t="s">
        <v>15</v>
      </c>
    </row>
    <row r="458" spans="1:13" x14ac:dyDescent="0.15">
      <c r="A458">
        <v>5137722</v>
      </c>
      <c r="B458" t="s">
        <v>1371</v>
      </c>
      <c r="C458" s="1">
        <v>41579</v>
      </c>
      <c r="D458">
        <v>1</v>
      </c>
      <c r="F458" t="s">
        <v>1372</v>
      </c>
      <c r="G458" t="s">
        <v>478</v>
      </c>
      <c r="H458" t="s">
        <v>18</v>
      </c>
      <c r="I458" t="s">
        <v>1373</v>
      </c>
      <c r="J458" t="str">
        <f>"9781292040974"</f>
        <v>9781292040974</v>
      </c>
      <c r="K458" t="str">
        <f>"9781292052830"</f>
        <v>9781292052830</v>
      </c>
      <c r="L458" t="s">
        <v>25</v>
      </c>
      <c r="M458" t="s">
        <v>15</v>
      </c>
    </row>
    <row r="459" spans="1:13" x14ac:dyDescent="0.15">
      <c r="A459">
        <v>5137723</v>
      </c>
      <c r="B459" t="s">
        <v>1374</v>
      </c>
      <c r="C459" s="1">
        <v>41579</v>
      </c>
      <c r="D459">
        <v>3</v>
      </c>
      <c r="F459" t="s">
        <v>1375</v>
      </c>
      <c r="G459" t="s">
        <v>351</v>
      </c>
      <c r="H459" t="s">
        <v>18</v>
      </c>
      <c r="I459" t="s">
        <v>1376</v>
      </c>
      <c r="J459" t="str">
        <f>"9781292039510"</f>
        <v>9781292039510</v>
      </c>
      <c r="K459" t="str">
        <f>"9781292052847"</f>
        <v>9781292052847</v>
      </c>
      <c r="L459" t="s">
        <v>25</v>
      </c>
      <c r="M459" t="s">
        <v>15</v>
      </c>
    </row>
    <row r="460" spans="1:13" x14ac:dyDescent="0.15">
      <c r="A460">
        <v>5137724</v>
      </c>
      <c r="B460" t="s">
        <v>1377</v>
      </c>
      <c r="C460" s="1">
        <v>41488</v>
      </c>
      <c r="D460">
        <v>3</v>
      </c>
      <c r="F460" t="s">
        <v>1378</v>
      </c>
      <c r="G460" t="s">
        <v>1379</v>
      </c>
      <c r="H460" t="s">
        <v>18</v>
      </c>
      <c r="I460" t="s">
        <v>1380</v>
      </c>
      <c r="J460" t="str">
        <f>"9781292020679"</f>
        <v>9781292020679</v>
      </c>
      <c r="K460" t="str">
        <f>"9781292033938"</f>
        <v>9781292033938</v>
      </c>
      <c r="L460" t="s">
        <v>25</v>
      </c>
      <c r="M460" t="s">
        <v>15</v>
      </c>
    </row>
    <row r="461" spans="1:13" x14ac:dyDescent="0.15">
      <c r="A461">
        <v>5137725</v>
      </c>
      <c r="B461" t="s">
        <v>1381</v>
      </c>
      <c r="C461" s="1">
        <v>41484</v>
      </c>
      <c r="D461">
        <v>3</v>
      </c>
      <c r="F461" t="s">
        <v>1378</v>
      </c>
      <c r="G461" t="s">
        <v>344</v>
      </c>
      <c r="H461" t="s">
        <v>18</v>
      </c>
      <c r="I461" t="s">
        <v>1382</v>
      </c>
      <c r="J461" t="str">
        <f>"9781292022246"</f>
        <v>9781292022246</v>
      </c>
      <c r="K461" t="str">
        <f>"9781292035444"</f>
        <v>9781292035444</v>
      </c>
      <c r="L461" t="s">
        <v>25</v>
      </c>
      <c r="M461" t="s">
        <v>15</v>
      </c>
    </row>
    <row r="462" spans="1:13" x14ac:dyDescent="0.15">
      <c r="A462">
        <v>5137729</v>
      </c>
      <c r="B462" t="s">
        <v>1383</v>
      </c>
      <c r="C462" s="1">
        <v>41478</v>
      </c>
      <c r="D462">
        <v>7</v>
      </c>
      <c r="F462" t="s">
        <v>1384</v>
      </c>
      <c r="G462" t="s">
        <v>1385</v>
      </c>
      <c r="H462" t="s">
        <v>18</v>
      </c>
      <c r="I462" t="s">
        <v>1386</v>
      </c>
      <c r="J462" t="str">
        <f>"9781292023878"</f>
        <v>9781292023878</v>
      </c>
      <c r="K462" t="str">
        <f>"9781292036984"</f>
        <v>9781292036984</v>
      </c>
      <c r="L462" t="s">
        <v>25</v>
      </c>
      <c r="M462" t="s">
        <v>15</v>
      </c>
    </row>
    <row r="463" spans="1:13" x14ac:dyDescent="0.15">
      <c r="A463">
        <v>5137739</v>
      </c>
      <c r="B463" t="s">
        <v>1387</v>
      </c>
      <c r="C463" s="1">
        <v>41584</v>
      </c>
      <c r="D463">
        <v>8</v>
      </c>
      <c r="F463" t="s">
        <v>1388</v>
      </c>
      <c r="H463" t="s">
        <v>18</v>
      </c>
      <c r="I463" t="s">
        <v>1389</v>
      </c>
      <c r="J463" t="str">
        <f>""</f>
        <v/>
      </c>
      <c r="K463" t="str">
        <f>"9780273766148"</f>
        <v>9780273766148</v>
      </c>
      <c r="L463" t="s">
        <v>25</v>
      </c>
      <c r="M463" t="s">
        <v>298</v>
      </c>
    </row>
    <row r="464" spans="1:13" x14ac:dyDescent="0.15">
      <c r="A464">
        <v>5137741</v>
      </c>
      <c r="B464" t="s">
        <v>1390</v>
      </c>
      <c r="C464" s="1">
        <v>40630</v>
      </c>
      <c r="D464">
        <v>3</v>
      </c>
      <c r="F464" t="s">
        <v>1391</v>
      </c>
      <c r="H464" t="s">
        <v>18</v>
      </c>
      <c r="I464" t="s">
        <v>1392</v>
      </c>
      <c r="J464" t="str">
        <f>"9780133553802"</f>
        <v>9780133553802</v>
      </c>
      <c r="K464" t="str">
        <f>"9780273743996"</f>
        <v>9780273743996</v>
      </c>
      <c r="L464" t="s">
        <v>25</v>
      </c>
      <c r="M464" t="s">
        <v>30</v>
      </c>
    </row>
    <row r="465" spans="1:13" x14ac:dyDescent="0.15">
      <c r="A465">
        <v>5137742</v>
      </c>
      <c r="B465" t="s">
        <v>1393</v>
      </c>
      <c r="C465" s="1">
        <v>41081</v>
      </c>
      <c r="D465">
        <v>9</v>
      </c>
      <c r="F465" t="s">
        <v>1394</v>
      </c>
      <c r="H465" t="s">
        <v>18</v>
      </c>
      <c r="I465" t="s">
        <v>1395</v>
      </c>
      <c r="J465" t="str">
        <f>"9781408294185"</f>
        <v>9781408294185</v>
      </c>
      <c r="K465" t="str">
        <f>"9781408295243"</f>
        <v>9781408295243</v>
      </c>
      <c r="L465" t="s">
        <v>25</v>
      </c>
      <c r="M465" t="s">
        <v>15</v>
      </c>
    </row>
    <row r="466" spans="1:13" x14ac:dyDescent="0.15">
      <c r="A466">
        <v>5137744</v>
      </c>
      <c r="B466" t="s">
        <v>1396</v>
      </c>
      <c r="C466" s="1">
        <v>41579</v>
      </c>
      <c r="D466">
        <v>7</v>
      </c>
      <c r="F466" t="s">
        <v>1397</v>
      </c>
      <c r="G466" t="s">
        <v>622</v>
      </c>
      <c r="H466" t="s">
        <v>18</v>
      </c>
      <c r="I466" t="s">
        <v>1398</v>
      </c>
      <c r="J466" t="str">
        <f>"9781292040707"</f>
        <v>9781292040707</v>
      </c>
      <c r="K466" t="str">
        <f>"9781292052908"</f>
        <v>9781292052908</v>
      </c>
      <c r="L466" t="s">
        <v>25</v>
      </c>
      <c r="M466" t="s">
        <v>15</v>
      </c>
    </row>
    <row r="467" spans="1:13" x14ac:dyDescent="0.15">
      <c r="A467">
        <v>5137745</v>
      </c>
      <c r="B467" t="s">
        <v>1396</v>
      </c>
      <c r="C467" s="1">
        <v>41579</v>
      </c>
      <c r="D467">
        <v>7</v>
      </c>
      <c r="F467" t="s">
        <v>1397</v>
      </c>
      <c r="G467" t="s">
        <v>622</v>
      </c>
      <c r="H467" t="s">
        <v>18</v>
      </c>
      <c r="I467" t="s">
        <v>1399</v>
      </c>
      <c r="J467" t="str">
        <f>"9781292027739"</f>
        <v>9781292027739</v>
      </c>
      <c r="K467" t="str">
        <f>"9781292052892"</f>
        <v>9781292052892</v>
      </c>
      <c r="L467" t="s">
        <v>25</v>
      </c>
      <c r="M467" t="s">
        <v>15</v>
      </c>
    </row>
    <row r="468" spans="1:13" x14ac:dyDescent="0.15">
      <c r="A468">
        <v>5137749</v>
      </c>
      <c r="B468" t="s">
        <v>1400</v>
      </c>
      <c r="C468" s="1">
        <v>41482</v>
      </c>
      <c r="D468">
        <v>1</v>
      </c>
      <c r="F468" t="s">
        <v>1401</v>
      </c>
      <c r="G468" t="s">
        <v>36</v>
      </c>
      <c r="H468" t="s">
        <v>18</v>
      </c>
      <c r="I468" t="s">
        <v>1402</v>
      </c>
      <c r="J468" t="str">
        <f>"9781292022192"</f>
        <v>9781292022192</v>
      </c>
      <c r="K468" t="str">
        <f>"9781292035390"</f>
        <v>9781292035390</v>
      </c>
      <c r="L468" t="s">
        <v>25</v>
      </c>
      <c r="M468" t="s">
        <v>15</v>
      </c>
    </row>
    <row r="469" spans="1:13" x14ac:dyDescent="0.15">
      <c r="A469">
        <v>5137750</v>
      </c>
      <c r="B469" t="s">
        <v>1403</v>
      </c>
      <c r="C469" s="1">
        <v>41579</v>
      </c>
      <c r="D469">
        <v>2</v>
      </c>
      <c r="F469" t="s">
        <v>1404</v>
      </c>
      <c r="G469" t="s">
        <v>395</v>
      </c>
      <c r="H469" t="s">
        <v>18</v>
      </c>
      <c r="I469" t="s">
        <v>1405</v>
      </c>
      <c r="J469" t="str">
        <f>"9781292042640"</f>
        <v>9781292042640</v>
      </c>
      <c r="K469" t="str">
        <f>"9781292052939"</f>
        <v>9781292052939</v>
      </c>
      <c r="L469" t="s">
        <v>25</v>
      </c>
      <c r="M469" t="s">
        <v>15</v>
      </c>
    </row>
    <row r="470" spans="1:13" x14ac:dyDescent="0.15">
      <c r="A470">
        <v>5137751</v>
      </c>
      <c r="B470" t="s">
        <v>1406</v>
      </c>
      <c r="C470" s="1">
        <v>41486</v>
      </c>
      <c r="D470">
        <v>7</v>
      </c>
      <c r="F470" t="s">
        <v>457</v>
      </c>
      <c r="G470" t="s">
        <v>65</v>
      </c>
      <c r="H470" t="s">
        <v>18</v>
      </c>
      <c r="I470" t="s">
        <v>1407</v>
      </c>
      <c r="J470" t="str">
        <f>"9781292022598"</f>
        <v>9781292022598</v>
      </c>
      <c r="K470" t="str">
        <f>"9781292035796"</f>
        <v>9781292035796</v>
      </c>
      <c r="L470" t="s">
        <v>25</v>
      </c>
      <c r="M470" t="s">
        <v>15</v>
      </c>
    </row>
    <row r="471" spans="1:13" x14ac:dyDescent="0.15">
      <c r="A471">
        <v>5137752</v>
      </c>
      <c r="B471" t="s">
        <v>1408</v>
      </c>
      <c r="C471" s="1">
        <v>41478</v>
      </c>
      <c r="D471">
        <v>2</v>
      </c>
      <c r="F471" t="s">
        <v>457</v>
      </c>
      <c r="G471" t="s">
        <v>65</v>
      </c>
      <c r="H471" t="s">
        <v>18</v>
      </c>
      <c r="I471" t="s">
        <v>1409</v>
      </c>
      <c r="J471" t="str">
        <f>"9781292022161"</f>
        <v>9781292022161</v>
      </c>
      <c r="K471" t="str">
        <f>"9781292035369"</f>
        <v>9781292035369</v>
      </c>
      <c r="L471" t="s">
        <v>25</v>
      </c>
      <c r="M471" t="s">
        <v>15</v>
      </c>
    </row>
    <row r="472" spans="1:13" x14ac:dyDescent="0.15">
      <c r="A472">
        <v>5137758</v>
      </c>
      <c r="B472" t="s">
        <v>1410</v>
      </c>
      <c r="C472" s="1">
        <v>41477</v>
      </c>
      <c r="D472">
        <v>4</v>
      </c>
      <c r="F472" t="s">
        <v>1411</v>
      </c>
      <c r="G472" t="s">
        <v>1412</v>
      </c>
      <c r="H472" t="s">
        <v>18</v>
      </c>
      <c r="I472" t="s">
        <v>1413</v>
      </c>
      <c r="J472" t="str">
        <f>"9781292022901"</f>
        <v>9781292022901</v>
      </c>
      <c r="K472" t="str">
        <f>"9781292036083"</f>
        <v>9781292036083</v>
      </c>
      <c r="L472" t="s">
        <v>25</v>
      </c>
      <c r="M472" t="s">
        <v>15</v>
      </c>
    </row>
    <row r="473" spans="1:13" x14ac:dyDescent="0.15">
      <c r="A473">
        <v>5137761</v>
      </c>
      <c r="B473" t="s">
        <v>1414</v>
      </c>
      <c r="C473" s="1">
        <v>41153</v>
      </c>
      <c r="D473">
        <v>1</v>
      </c>
      <c r="F473" t="s">
        <v>1415</v>
      </c>
      <c r="G473" t="s">
        <v>36</v>
      </c>
      <c r="H473" t="s">
        <v>18</v>
      </c>
      <c r="I473" t="s">
        <v>1416</v>
      </c>
      <c r="J473" t="str">
        <f>"9780273760894"</f>
        <v>9780273760894</v>
      </c>
      <c r="K473" t="str">
        <f>"9780273760917"</f>
        <v>9780273760917</v>
      </c>
      <c r="L473" t="s">
        <v>25</v>
      </c>
      <c r="M473" t="s">
        <v>15</v>
      </c>
    </row>
    <row r="474" spans="1:13" x14ac:dyDescent="0.15">
      <c r="A474">
        <v>5137774</v>
      </c>
      <c r="B474" t="s">
        <v>1417</v>
      </c>
      <c r="C474" s="1">
        <v>40179</v>
      </c>
      <c r="D474">
        <v>3</v>
      </c>
      <c r="F474" t="s">
        <v>1418</v>
      </c>
      <c r="G474" t="s">
        <v>1419</v>
      </c>
      <c r="H474" t="s">
        <v>18</v>
      </c>
      <c r="I474" t="s">
        <v>1420</v>
      </c>
      <c r="J474" t="str">
        <f>"9780273723431"</f>
        <v>9780273723431</v>
      </c>
      <c r="K474" t="str">
        <f>"9780273723455"</f>
        <v>9780273723455</v>
      </c>
      <c r="L474" t="s">
        <v>25</v>
      </c>
      <c r="M474" t="s">
        <v>39</v>
      </c>
    </row>
    <row r="475" spans="1:13" x14ac:dyDescent="0.15">
      <c r="A475">
        <v>5137779</v>
      </c>
      <c r="B475" t="s">
        <v>1421</v>
      </c>
      <c r="C475" s="1">
        <v>41484</v>
      </c>
      <c r="D475">
        <v>9</v>
      </c>
      <c r="F475" t="s">
        <v>463</v>
      </c>
      <c r="G475" t="s">
        <v>22</v>
      </c>
      <c r="H475" t="s">
        <v>18</v>
      </c>
      <c r="I475" t="s">
        <v>1422</v>
      </c>
      <c r="J475" t="str">
        <f>"9781292025667"</f>
        <v>9781292025667</v>
      </c>
      <c r="K475" t="str">
        <f>"9781292038094"</f>
        <v>9781292038094</v>
      </c>
      <c r="L475" t="s">
        <v>25</v>
      </c>
      <c r="M475" t="s">
        <v>15</v>
      </c>
    </row>
    <row r="476" spans="1:13" x14ac:dyDescent="0.15">
      <c r="A476">
        <v>5137780</v>
      </c>
      <c r="B476" t="s">
        <v>462</v>
      </c>
      <c r="C476" s="1">
        <v>41579</v>
      </c>
      <c r="D476">
        <v>1</v>
      </c>
      <c r="F476" t="s">
        <v>463</v>
      </c>
      <c r="G476" t="s">
        <v>221</v>
      </c>
      <c r="H476" t="s">
        <v>18</v>
      </c>
      <c r="I476" t="s">
        <v>1423</v>
      </c>
      <c r="J476" t="str">
        <f>"9781292027241"</f>
        <v>9781292027241</v>
      </c>
      <c r="K476" t="str">
        <f>"9781292052960"</f>
        <v>9781292052960</v>
      </c>
      <c r="L476" t="s">
        <v>25</v>
      </c>
      <c r="M476" t="s">
        <v>15</v>
      </c>
    </row>
    <row r="477" spans="1:13" x14ac:dyDescent="0.15">
      <c r="A477">
        <v>5137781</v>
      </c>
      <c r="B477" t="s">
        <v>1424</v>
      </c>
      <c r="C477" s="1">
        <v>41481</v>
      </c>
      <c r="D477">
        <v>9</v>
      </c>
      <c r="F477" t="s">
        <v>1425</v>
      </c>
      <c r="G477" t="s">
        <v>22</v>
      </c>
      <c r="H477" t="s">
        <v>18</v>
      </c>
      <c r="I477" t="s">
        <v>1426</v>
      </c>
      <c r="J477" t="str">
        <f>"9781292025643"</f>
        <v>9781292025643</v>
      </c>
      <c r="K477" t="str">
        <f>"9781292038070"</f>
        <v>9781292038070</v>
      </c>
      <c r="L477" t="s">
        <v>25</v>
      </c>
      <c r="M477" t="s">
        <v>15</v>
      </c>
    </row>
    <row r="478" spans="1:13" x14ac:dyDescent="0.15">
      <c r="A478">
        <v>5137782</v>
      </c>
      <c r="B478" t="s">
        <v>1427</v>
      </c>
      <c r="C478" s="1">
        <v>41579</v>
      </c>
      <c r="D478">
        <v>9</v>
      </c>
      <c r="F478" t="s">
        <v>1425</v>
      </c>
      <c r="H478" t="s">
        <v>18</v>
      </c>
      <c r="I478" t="s">
        <v>1428</v>
      </c>
      <c r="J478" t="str">
        <f>"9781292040530"</f>
        <v>9781292040530</v>
      </c>
      <c r="K478" t="str">
        <f>"9781292052953"</f>
        <v>9781292052953</v>
      </c>
      <c r="L478" t="s">
        <v>25</v>
      </c>
      <c r="M478" t="s">
        <v>15</v>
      </c>
    </row>
    <row r="479" spans="1:13" x14ac:dyDescent="0.15">
      <c r="A479">
        <v>5137783</v>
      </c>
      <c r="B479" t="s">
        <v>1429</v>
      </c>
      <c r="C479" s="1">
        <v>41484</v>
      </c>
      <c r="D479">
        <v>8</v>
      </c>
      <c r="F479" t="s">
        <v>1430</v>
      </c>
      <c r="G479" t="s">
        <v>22</v>
      </c>
      <c r="H479" t="s">
        <v>18</v>
      </c>
      <c r="I479" t="s">
        <v>1431</v>
      </c>
      <c r="J479" t="str">
        <f>"9781292025681"</f>
        <v>9781292025681</v>
      </c>
      <c r="K479" t="str">
        <f>"9781292038117"</f>
        <v>9781292038117</v>
      </c>
      <c r="L479" t="s">
        <v>25</v>
      </c>
      <c r="M479" t="s">
        <v>15</v>
      </c>
    </row>
    <row r="480" spans="1:13" x14ac:dyDescent="0.15">
      <c r="A480">
        <v>5137785</v>
      </c>
      <c r="B480" t="s">
        <v>1432</v>
      </c>
      <c r="C480" s="1">
        <v>40745</v>
      </c>
      <c r="D480">
        <v>1</v>
      </c>
      <c r="E480" t="s">
        <v>1433</v>
      </c>
      <c r="F480" t="s">
        <v>1434</v>
      </c>
      <c r="G480" t="s">
        <v>65</v>
      </c>
      <c r="H480" t="s">
        <v>18</v>
      </c>
      <c r="I480" t="s">
        <v>1435</v>
      </c>
      <c r="J480" t="str">
        <f>"9780273737254"</f>
        <v>9780273737254</v>
      </c>
      <c r="K480" t="str">
        <f>"9780273737278"</f>
        <v>9780273737278</v>
      </c>
      <c r="L480" t="s">
        <v>25</v>
      </c>
      <c r="M480" t="s">
        <v>112</v>
      </c>
    </row>
    <row r="481" spans="1:13" x14ac:dyDescent="0.15">
      <c r="A481">
        <v>5137791</v>
      </c>
      <c r="B481" t="s">
        <v>1436</v>
      </c>
      <c r="C481" s="1">
        <v>41579</v>
      </c>
      <c r="D481">
        <v>4</v>
      </c>
      <c r="F481" t="s">
        <v>1437</v>
      </c>
      <c r="G481" t="s">
        <v>27</v>
      </c>
      <c r="H481" t="s">
        <v>18</v>
      </c>
      <c r="I481" t="s">
        <v>1438</v>
      </c>
      <c r="J481" t="str">
        <f>"9781292041605"</f>
        <v>9781292041605</v>
      </c>
      <c r="K481" t="str">
        <f>"9781292052977"</f>
        <v>9781292052977</v>
      </c>
      <c r="L481" t="s">
        <v>25</v>
      </c>
      <c r="M481" t="s">
        <v>15</v>
      </c>
    </row>
    <row r="482" spans="1:13" x14ac:dyDescent="0.15">
      <c r="A482">
        <v>5137797</v>
      </c>
      <c r="B482" t="s">
        <v>1439</v>
      </c>
      <c r="C482" s="1">
        <v>41513</v>
      </c>
      <c r="D482">
        <v>1</v>
      </c>
      <c r="F482" t="s">
        <v>1440</v>
      </c>
      <c r="H482" t="s">
        <v>18</v>
      </c>
      <c r="I482" t="s">
        <v>1441</v>
      </c>
      <c r="J482" t="str">
        <f>""</f>
        <v/>
      </c>
      <c r="K482" t="str">
        <f>"9780273778530"</f>
        <v>9780273778530</v>
      </c>
      <c r="L482" t="s">
        <v>25</v>
      </c>
      <c r="M482" t="s">
        <v>30</v>
      </c>
    </row>
    <row r="483" spans="1:13" x14ac:dyDescent="0.15">
      <c r="A483">
        <v>5137798</v>
      </c>
      <c r="B483" t="s">
        <v>1442</v>
      </c>
      <c r="C483" s="1">
        <v>41579</v>
      </c>
      <c r="D483">
        <v>10</v>
      </c>
      <c r="F483" t="s">
        <v>1443</v>
      </c>
      <c r="G483" t="s">
        <v>27</v>
      </c>
      <c r="H483" t="s">
        <v>18</v>
      </c>
      <c r="I483" t="s">
        <v>1444</v>
      </c>
      <c r="J483" t="str">
        <f>"9781292041643"</f>
        <v>9781292041643</v>
      </c>
      <c r="K483" t="str">
        <f>"9781292052991"</f>
        <v>9781292052991</v>
      </c>
      <c r="L483" t="s">
        <v>25</v>
      </c>
      <c r="M483" t="s">
        <v>15</v>
      </c>
    </row>
    <row r="484" spans="1:13" x14ac:dyDescent="0.15">
      <c r="A484">
        <v>5137799</v>
      </c>
      <c r="B484" t="s">
        <v>1445</v>
      </c>
      <c r="C484" s="1">
        <v>41579</v>
      </c>
      <c r="D484">
        <v>10</v>
      </c>
      <c r="F484" t="s">
        <v>1446</v>
      </c>
      <c r="G484" t="s">
        <v>36</v>
      </c>
      <c r="H484" t="s">
        <v>18</v>
      </c>
      <c r="I484" t="s">
        <v>1447</v>
      </c>
      <c r="J484" t="str">
        <f>"9781292040080"</f>
        <v>9781292040080</v>
      </c>
      <c r="K484" t="str">
        <f>"9781292053004"</f>
        <v>9781292053004</v>
      </c>
      <c r="L484" t="s">
        <v>25</v>
      </c>
      <c r="M484" t="s">
        <v>15</v>
      </c>
    </row>
    <row r="485" spans="1:13" x14ac:dyDescent="0.15">
      <c r="A485">
        <v>5137801</v>
      </c>
      <c r="B485" t="s">
        <v>1448</v>
      </c>
      <c r="C485" s="1">
        <v>41515</v>
      </c>
      <c r="D485">
        <v>5</v>
      </c>
      <c r="F485" t="s">
        <v>1449</v>
      </c>
      <c r="G485" t="s">
        <v>890</v>
      </c>
      <c r="H485" t="s">
        <v>18</v>
      </c>
      <c r="I485" t="s">
        <v>1450</v>
      </c>
      <c r="J485" t="str">
        <f>"9781292026398"</f>
        <v>9781292026398</v>
      </c>
      <c r="K485" t="str">
        <f>"9781292038780"</f>
        <v>9781292038780</v>
      </c>
      <c r="L485" t="s">
        <v>25</v>
      </c>
      <c r="M485" t="s">
        <v>15</v>
      </c>
    </row>
    <row r="486" spans="1:13" x14ac:dyDescent="0.15">
      <c r="A486">
        <v>5137805</v>
      </c>
      <c r="B486" t="s">
        <v>1451</v>
      </c>
      <c r="C486" s="1">
        <v>41579</v>
      </c>
      <c r="D486">
        <v>12</v>
      </c>
      <c r="F486" t="s">
        <v>1452</v>
      </c>
      <c r="G486" t="s">
        <v>189</v>
      </c>
      <c r="H486" t="s">
        <v>18</v>
      </c>
      <c r="I486" t="s">
        <v>1453</v>
      </c>
      <c r="J486" t="str">
        <f>"9781292039091"</f>
        <v>9781292039091</v>
      </c>
      <c r="K486" t="str">
        <f>"9781292053028"</f>
        <v>9781292053028</v>
      </c>
      <c r="L486" t="s">
        <v>25</v>
      </c>
      <c r="M486" t="s">
        <v>15</v>
      </c>
    </row>
    <row r="487" spans="1:13" x14ac:dyDescent="0.15">
      <c r="A487">
        <v>5137806</v>
      </c>
      <c r="B487" t="s">
        <v>1454</v>
      </c>
      <c r="C487" s="1">
        <v>41478</v>
      </c>
      <c r="D487">
        <v>4</v>
      </c>
      <c r="F487" t="s">
        <v>1455</v>
      </c>
      <c r="G487" t="s">
        <v>189</v>
      </c>
      <c r="H487" t="s">
        <v>18</v>
      </c>
      <c r="I487" t="s">
        <v>1456</v>
      </c>
      <c r="J487" t="str">
        <f>"9781292026503"</f>
        <v>9781292026503</v>
      </c>
      <c r="K487" t="str">
        <f>"9781292038896"</f>
        <v>9781292038896</v>
      </c>
      <c r="L487" t="s">
        <v>25</v>
      </c>
      <c r="M487" t="s">
        <v>15</v>
      </c>
    </row>
    <row r="488" spans="1:13" x14ac:dyDescent="0.15">
      <c r="A488">
        <v>5137807</v>
      </c>
      <c r="B488" t="s">
        <v>1457</v>
      </c>
      <c r="C488" s="1">
        <v>41579</v>
      </c>
      <c r="D488">
        <v>7</v>
      </c>
      <c r="F488" t="s">
        <v>1458</v>
      </c>
      <c r="G488" t="s">
        <v>1459</v>
      </c>
      <c r="H488" t="s">
        <v>18</v>
      </c>
      <c r="I488" t="s">
        <v>1460</v>
      </c>
      <c r="J488" t="str">
        <f>"9781292042152"</f>
        <v>9781292042152</v>
      </c>
      <c r="K488" t="str">
        <f>"9781292053035"</f>
        <v>9781292053035</v>
      </c>
      <c r="L488" t="s">
        <v>25</v>
      </c>
      <c r="M488" t="s">
        <v>15</v>
      </c>
    </row>
    <row r="489" spans="1:13" x14ac:dyDescent="0.15">
      <c r="A489">
        <v>5137808</v>
      </c>
      <c r="B489" t="s">
        <v>1461</v>
      </c>
      <c r="C489" s="1">
        <v>41478</v>
      </c>
      <c r="D489">
        <v>5</v>
      </c>
      <c r="F489" t="s">
        <v>1462</v>
      </c>
      <c r="G489" t="s">
        <v>65</v>
      </c>
      <c r="H489" t="s">
        <v>18</v>
      </c>
      <c r="I489" t="s">
        <v>1463</v>
      </c>
      <c r="J489" t="str">
        <f>"9781292022253"</f>
        <v>9781292022253</v>
      </c>
      <c r="K489" t="str">
        <f>"9781292035451"</f>
        <v>9781292035451</v>
      </c>
      <c r="L489" t="s">
        <v>25</v>
      </c>
      <c r="M489" t="s">
        <v>15</v>
      </c>
    </row>
    <row r="490" spans="1:13" x14ac:dyDescent="0.15">
      <c r="A490">
        <v>5137810</v>
      </c>
      <c r="B490" t="s">
        <v>1464</v>
      </c>
      <c r="C490" s="1">
        <v>41579</v>
      </c>
      <c r="D490">
        <v>7</v>
      </c>
      <c r="F490" t="s">
        <v>1465</v>
      </c>
      <c r="G490" t="s">
        <v>27</v>
      </c>
      <c r="H490" t="s">
        <v>18</v>
      </c>
      <c r="I490" t="s">
        <v>1466</v>
      </c>
      <c r="J490" t="str">
        <f>"9781292041674"</f>
        <v>9781292041674</v>
      </c>
      <c r="K490" t="str">
        <f>"9781292053042"</f>
        <v>9781292053042</v>
      </c>
      <c r="L490" t="s">
        <v>25</v>
      </c>
      <c r="M490" t="s">
        <v>15</v>
      </c>
    </row>
    <row r="491" spans="1:13" x14ac:dyDescent="0.15">
      <c r="A491">
        <v>5137811</v>
      </c>
      <c r="B491" t="s">
        <v>1467</v>
      </c>
      <c r="C491" s="1">
        <v>41579</v>
      </c>
      <c r="D491">
        <v>9</v>
      </c>
      <c r="F491" t="s">
        <v>1468</v>
      </c>
      <c r="G491" t="s">
        <v>1469</v>
      </c>
      <c r="H491" t="s">
        <v>18</v>
      </c>
      <c r="I491" t="s">
        <v>1470</v>
      </c>
      <c r="J491" t="str">
        <f>"9781292039497"</f>
        <v>9781292039497</v>
      </c>
      <c r="K491" t="str">
        <f>"9781292053059"</f>
        <v>9781292053059</v>
      </c>
      <c r="L491" t="s">
        <v>25</v>
      </c>
      <c r="M491" t="s">
        <v>15</v>
      </c>
    </row>
    <row r="492" spans="1:13" x14ac:dyDescent="0.15">
      <c r="A492">
        <v>5137813</v>
      </c>
      <c r="B492" t="s">
        <v>1471</v>
      </c>
      <c r="C492" s="1">
        <v>41579</v>
      </c>
      <c r="D492">
        <v>1</v>
      </c>
      <c r="F492" t="s">
        <v>1472</v>
      </c>
      <c r="G492" t="s">
        <v>408</v>
      </c>
      <c r="H492" t="s">
        <v>18</v>
      </c>
      <c r="I492" t="s">
        <v>1473</v>
      </c>
      <c r="J492" t="str">
        <f>"9781292040172"</f>
        <v>9781292040172</v>
      </c>
      <c r="K492" t="str">
        <f>"9781292053066"</f>
        <v>9781292053066</v>
      </c>
      <c r="L492" t="s">
        <v>25</v>
      </c>
      <c r="M492" t="s">
        <v>15</v>
      </c>
    </row>
    <row r="493" spans="1:13" x14ac:dyDescent="0.15">
      <c r="A493">
        <v>5137814</v>
      </c>
      <c r="B493" t="s">
        <v>1474</v>
      </c>
      <c r="C493" s="1">
        <v>41030</v>
      </c>
      <c r="D493">
        <v>1</v>
      </c>
      <c r="F493" t="s">
        <v>1475</v>
      </c>
      <c r="G493" t="s">
        <v>1476</v>
      </c>
      <c r="H493" t="s">
        <v>18</v>
      </c>
      <c r="I493" t="s">
        <v>1477</v>
      </c>
      <c r="J493" t="str">
        <f>"9780273771975"</f>
        <v>9780273771975</v>
      </c>
      <c r="K493" t="str">
        <f>"9780273772903"</f>
        <v>9780273772903</v>
      </c>
      <c r="L493" t="s">
        <v>25</v>
      </c>
      <c r="M493" t="s">
        <v>15</v>
      </c>
    </row>
    <row r="494" spans="1:13" x14ac:dyDescent="0.15">
      <c r="A494">
        <v>5137818</v>
      </c>
      <c r="B494" t="s">
        <v>1478</v>
      </c>
      <c r="C494" s="1">
        <v>41431</v>
      </c>
      <c r="D494">
        <v>2</v>
      </c>
      <c r="F494" t="s">
        <v>1479</v>
      </c>
      <c r="G494" t="s">
        <v>117</v>
      </c>
      <c r="H494" t="s">
        <v>18</v>
      </c>
      <c r="I494" t="s">
        <v>1480</v>
      </c>
      <c r="J494" t="str">
        <f>"9781447904472"</f>
        <v>9781447904472</v>
      </c>
      <c r="K494" t="str">
        <f>"9781447904489"</f>
        <v>9781447904489</v>
      </c>
      <c r="L494" t="s">
        <v>25</v>
      </c>
      <c r="M494" t="s">
        <v>15</v>
      </c>
    </row>
    <row r="495" spans="1:13" x14ac:dyDescent="0.15">
      <c r="A495">
        <v>5137822</v>
      </c>
      <c r="B495" t="s">
        <v>1481</v>
      </c>
      <c r="C495" s="1">
        <v>41579</v>
      </c>
      <c r="D495">
        <v>3</v>
      </c>
      <c r="F495" t="s">
        <v>475</v>
      </c>
      <c r="G495" t="s">
        <v>478</v>
      </c>
      <c r="H495" t="s">
        <v>18</v>
      </c>
      <c r="I495" t="s">
        <v>1482</v>
      </c>
      <c r="J495" t="str">
        <f>"9781292042251"</f>
        <v>9781292042251</v>
      </c>
      <c r="K495" t="str">
        <f>"9781292053080"</f>
        <v>9781292053080</v>
      </c>
      <c r="L495" t="s">
        <v>25</v>
      </c>
      <c r="M495" t="s">
        <v>15</v>
      </c>
    </row>
    <row r="496" spans="1:13" x14ac:dyDescent="0.15">
      <c r="A496">
        <v>5137830</v>
      </c>
      <c r="B496" t="s">
        <v>1483</v>
      </c>
      <c r="C496" s="1">
        <v>41579</v>
      </c>
      <c r="D496">
        <v>6</v>
      </c>
      <c r="F496" t="s">
        <v>1484</v>
      </c>
      <c r="G496" t="s">
        <v>27</v>
      </c>
      <c r="H496" t="s">
        <v>18</v>
      </c>
      <c r="I496" t="s">
        <v>1485</v>
      </c>
      <c r="J496" t="str">
        <f>"9781292041681"</f>
        <v>9781292041681</v>
      </c>
      <c r="K496" t="str">
        <f>"9781292053103"</f>
        <v>9781292053103</v>
      </c>
      <c r="L496" t="s">
        <v>25</v>
      </c>
      <c r="M496" t="s">
        <v>15</v>
      </c>
    </row>
    <row r="497" spans="1:13" x14ac:dyDescent="0.15">
      <c r="A497">
        <v>5137832</v>
      </c>
      <c r="B497" t="s">
        <v>1486</v>
      </c>
      <c r="C497" s="1">
        <v>41579</v>
      </c>
      <c r="D497">
        <v>1</v>
      </c>
      <c r="F497" t="s">
        <v>1487</v>
      </c>
      <c r="G497" t="s">
        <v>36</v>
      </c>
      <c r="H497" t="s">
        <v>18</v>
      </c>
      <c r="I497" t="s">
        <v>1488</v>
      </c>
      <c r="J497" t="str">
        <f>"9781292042893"</f>
        <v>9781292042893</v>
      </c>
      <c r="K497" t="str">
        <f>"9781292053110"</f>
        <v>9781292053110</v>
      </c>
      <c r="L497" t="s">
        <v>25</v>
      </c>
      <c r="M497" t="s">
        <v>15</v>
      </c>
    </row>
    <row r="498" spans="1:13" x14ac:dyDescent="0.15">
      <c r="A498">
        <v>5137833</v>
      </c>
      <c r="B498" t="s">
        <v>1489</v>
      </c>
      <c r="C498" s="1">
        <v>41472</v>
      </c>
      <c r="D498">
        <v>2</v>
      </c>
      <c r="F498" t="s">
        <v>1490</v>
      </c>
      <c r="G498" t="s">
        <v>478</v>
      </c>
      <c r="H498" t="s">
        <v>18</v>
      </c>
      <c r="I498" t="s">
        <v>1491</v>
      </c>
      <c r="J498" t="str">
        <f>"9781292024479"</f>
        <v>9781292024479</v>
      </c>
      <c r="K498" t="str">
        <f>"9781292037301"</f>
        <v>9781292037301</v>
      </c>
      <c r="L498" t="s">
        <v>25</v>
      </c>
      <c r="M498" t="s">
        <v>15</v>
      </c>
    </row>
    <row r="499" spans="1:13" x14ac:dyDescent="0.15">
      <c r="A499">
        <v>5137834</v>
      </c>
      <c r="B499" t="s">
        <v>1492</v>
      </c>
      <c r="C499" s="1">
        <v>41579</v>
      </c>
      <c r="D499">
        <v>5</v>
      </c>
      <c r="F499" t="s">
        <v>1493</v>
      </c>
      <c r="G499" t="s">
        <v>65</v>
      </c>
      <c r="H499" t="s">
        <v>18</v>
      </c>
      <c r="I499" t="s">
        <v>1494</v>
      </c>
      <c r="J499" t="str">
        <f>"9781292040127"</f>
        <v>9781292040127</v>
      </c>
      <c r="K499" t="str">
        <f>"9781292053127"</f>
        <v>9781292053127</v>
      </c>
      <c r="L499" t="s">
        <v>25</v>
      </c>
      <c r="M499" t="s">
        <v>15</v>
      </c>
    </row>
    <row r="500" spans="1:13" x14ac:dyDescent="0.15">
      <c r="A500">
        <v>5137835</v>
      </c>
      <c r="B500" t="s">
        <v>1495</v>
      </c>
      <c r="C500" s="1">
        <v>41487</v>
      </c>
      <c r="D500">
        <v>1</v>
      </c>
      <c r="F500" t="s">
        <v>1496</v>
      </c>
      <c r="G500" t="s">
        <v>836</v>
      </c>
      <c r="H500" t="s">
        <v>18</v>
      </c>
      <c r="I500" t="s">
        <v>1497</v>
      </c>
      <c r="J500" t="str">
        <f>"9780273776109"</f>
        <v>9780273776109</v>
      </c>
      <c r="K500" t="str">
        <f>"9780273776123"</f>
        <v>9780273776123</v>
      </c>
      <c r="L500" t="s">
        <v>25</v>
      </c>
      <c r="M500" t="s">
        <v>15</v>
      </c>
    </row>
    <row r="501" spans="1:13" x14ac:dyDescent="0.15">
      <c r="A501">
        <v>5137838</v>
      </c>
      <c r="B501" t="s">
        <v>1498</v>
      </c>
      <c r="C501" s="1">
        <v>41579</v>
      </c>
      <c r="D501">
        <v>1</v>
      </c>
      <c r="F501" t="s">
        <v>1499</v>
      </c>
      <c r="G501" t="s">
        <v>478</v>
      </c>
      <c r="H501" t="s">
        <v>18</v>
      </c>
      <c r="I501" t="s">
        <v>1500</v>
      </c>
      <c r="J501" t="str">
        <f>"9781292026947"</f>
        <v>9781292026947</v>
      </c>
      <c r="K501" t="str">
        <f>"9781292053134"</f>
        <v>9781292053134</v>
      </c>
      <c r="L501" t="s">
        <v>25</v>
      </c>
      <c r="M501" t="s">
        <v>15</v>
      </c>
    </row>
    <row r="502" spans="1:13" x14ac:dyDescent="0.15">
      <c r="A502">
        <v>5137840</v>
      </c>
      <c r="B502" t="s">
        <v>1501</v>
      </c>
      <c r="C502" s="1">
        <v>40480</v>
      </c>
      <c r="D502">
        <v>1</v>
      </c>
      <c r="E502" t="s">
        <v>1502</v>
      </c>
      <c r="F502" t="s">
        <v>1503</v>
      </c>
      <c r="G502" t="s">
        <v>36</v>
      </c>
      <c r="H502" t="s">
        <v>18</v>
      </c>
      <c r="I502" t="s">
        <v>1504</v>
      </c>
      <c r="J502" t="str">
        <f>"9780273744054"</f>
        <v>9780273744054</v>
      </c>
      <c r="K502" t="str">
        <f>"9780273744078"</f>
        <v>9780273744078</v>
      </c>
      <c r="L502" t="s">
        <v>25</v>
      </c>
      <c r="M502" t="s">
        <v>39</v>
      </c>
    </row>
    <row r="503" spans="1:13" x14ac:dyDescent="0.15">
      <c r="A503">
        <v>5137844</v>
      </c>
      <c r="B503" t="s">
        <v>1505</v>
      </c>
      <c r="C503" s="1">
        <v>41478</v>
      </c>
      <c r="D503">
        <v>6</v>
      </c>
      <c r="F503" t="s">
        <v>1506</v>
      </c>
      <c r="G503" t="s">
        <v>202</v>
      </c>
      <c r="H503" t="s">
        <v>18</v>
      </c>
      <c r="I503" t="s">
        <v>1507</v>
      </c>
      <c r="J503" t="str">
        <f>"9781292023380"</f>
        <v>9781292023380</v>
      </c>
      <c r="K503" t="str">
        <f>"9781292036557"</f>
        <v>9781292036557</v>
      </c>
      <c r="L503" t="s">
        <v>25</v>
      </c>
      <c r="M503" t="s">
        <v>15</v>
      </c>
    </row>
    <row r="504" spans="1:13" x14ac:dyDescent="0.15">
      <c r="A504">
        <v>5137845</v>
      </c>
      <c r="B504" t="s">
        <v>1508</v>
      </c>
      <c r="C504" s="1">
        <v>41502</v>
      </c>
      <c r="D504">
        <v>20</v>
      </c>
      <c r="F504" t="s">
        <v>1509</v>
      </c>
      <c r="G504" t="s">
        <v>65</v>
      </c>
      <c r="H504" t="s">
        <v>18</v>
      </c>
      <c r="I504" t="s">
        <v>1510</v>
      </c>
      <c r="J504" t="str">
        <f>"9781292021621"</f>
        <v>9781292021621</v>
      </c>
      <c r="K504" t="str">
        <f>"9781292034850"</f>
        <v>9781292034850</v>
      </c>
      <c r="L504" t="s">
        <v>25</v>
      </c>
      <c r="M504" t="s">
        <v>15</v>
      </c>
    </row>
    <row r="505" spans="1:13" x14ac:dyDescent="0.15">
      <c r="A505">
        <v>5137846</v>
      </c>
      <c r="B505" t="s">
        <v>1511</v>
      </c>
      <c r="C505" s="1">
        <v>41061</v>
      </c>
      <c r="D505">
        <v>1</v>
      </c>
      <c r="F505" t="s">
        <v>1512</v>
      </c>
      <c r="G505" t="s">
        <v>65</v>
      </c>
      <c r="H505" t="s">
        <v>18</v>
      </c>
      <c r="I505" t="s">
        <v>1513</v>
      </c>
      <c r="J505" t="str">
        <f>"9780273720027"</f>
        <v>9780273720027</v>
      </c>
      <c r="K505" t="str">
        <f>"9780273720096"</f>
        <v>9780273720096</v>
      </c>
      <c r="L505" t="s">
        <v>25</v>
      </c>
      <c r="M505" t="s">
        <v>15</v>
      </c>
    </row>
    <row r="506" spans="1:13" x14ac:dyDescent="0.15">
      <c r="A506">
        <v>5137847</v>
      </c>
      <c r="B506" t="s">
        <v>1514</v>
      </c>
      <c r="C506" s="1">
        <v>41484</v>
      </c>
      <c r="D506">
        <v>8</v>
      </c>
      <c r="F506" t="s">
        <v>1515</v>
      </c>
      <c r="G506" t="s">
        <v>946</v>
      </c>
      <c r="H506" t="s">
        <v>18</v>
      </c>
      <c r="I506" t="s">
        <v>1516</v>
      </c>
      <c r="J506" t="str">
        <f>"9781292024653"</f>
        <v>9781292024653</v>
      </c>
      <c r="K506" t="str">
        <f>"9781292037349"</f>
        <v>9781292037349</v>
      </c>
      <c r="L506" t="s">
        <v>25</v>
      </c>
      <c r="M506" t="s">
        <v>15</v>
      </c>
    </row>
    <row r="507" spans="1:13" x14ac:dyDescent="0.15">
      <c r="A507">
        <v>5137849</v>
      </c>
      <c r="B507" t="s">
        <v>1517</v>
      </c>
      <c r="C507" s="1">
        <v>41550</v>
      </c>
      <c r="D507">
        <v>3</v>
      </c>
      <c r="F507" t="s">
        <v>1518</v>
      </c>
      <c r="H507" t="s">
        <v>18</v>
      </c>
      <c r="I507" t="s">
        <v>1519</v>
      </c>
      <c r="J507" t="str">
        <f>"9781292039121"</f>
        <v>9781292039121</v>
      </c>
      <c r="K507" t="str">
        <f>"9781292053189"</f>
        <v>9781292053189</v>
      </c>
      <c r="L507" t="s">
        <v>25</v>
      </c>
      <c r="M507" t="s">
        <v>15</v>
      </c>
    </row>
    <row r="508" spans="1:13" x14ac:dyDescent="0.15">
      <c r="A508">
        <v>5137851</v>
      </c>
      <c r="B508" t="s">
        <v>1520</v>
      </c>
      <c r="C508" s="1">
        <v>41339</v>
      </c>
      <c r="D508">
        <v>13</v>
      </c>
      <c r="F508" t="s">
        <v>1521</v>
      </c>
      <c r="H508" t="s">
        <v>18</v>
      </c>
      <c r="I508" t="s">
        <v>1522</v>
      </c>
      <c r="J508" t="str">
        <f>""</f>
        <v/>
      </c>
      <c r="K508" t="str">
        <f>"9781447930457"</f>
        <v>9781447930457</v>
      </c>
      <c r="L508" t="s">
        <v>25</v>
      </c>
      <c r="M508" t="s">
        <v>298</v>
      </c>
    </row>
    <row r="509" spans="1:13" x14ac:dyDescent="0.15">
      <c r="A509">
        <v>5137852</v>
      </c>
      <c r="B509" t="s">
        <v>1523</v>
      </c>
      <c r="C509" s="1">
        <v>41484</v>
      </c>
      <c r="D509">
        <v>4</v>
      </c>
      <c r="F509" t="s">
        <v>1524</v>
      </c>
      <c r="G509" t="s">
        <v>1379</v>
      </c>
      <c r="H509" t="s">
        <v>18</v>
      </c>
      <c r="I509" t="s">
        <v>1525</v>
      </c>
      <c r="J509" t="str">
        <f>"9781292020761"</f>
        <v>9781292020761</v>
      </c>
      <c r="K509" t="str">
        <f>"9781292034010"</f>
        <v>9781292034010</v>
      </c>
      <c r="L509" t="s">
        <v>25</v>
      </c>
      <c r="M509" t="s">
        <v>15</v>
      </c>
    </row>
    <row r="510" spans="1:13" x14ac:dyDescent="0.15">
      <c r="A510">
        <v>5137853</v>
      </c>
      <c r="B510" t="s">
        <v>1526</v>
      </c>
      <c r="C510" s="1">
        <v>41513</v>
      </c>
      <c r="D510">
        <v>6</v>
      </c>
      <c r="F510" t="s">
        <v>1524</v>
      </c>
      <c r="H510" t="s">
        <v>18</v>
      </c>
      <c r="I510" t="s">
        <v>1527</v>
      </c>
      <c r="J510" t="str">
        <f>"9781292021768"</f>
        <v>9781292021768</v>
      </c>
      <c r="K510" t="str">
        <f>"9781292034980"</f>
        <v>9781292034980</v>
      </c>
      <c r="L510" t="s">
        <v>25</v>
      </c>
      <c r="M510" t="s">
        <v>15</v>
      </c>
    </row>
    <row r="511" spans="1:13" x14ac:dyDescent="0.15">
      <c r="A511">
        <v>5137854</v>
      </c>
      <c r="B511" t="s">
        <v>1528</v>
      </c>
      <c r="C511" s="1">
        <v>41478</v>
      </c>
      <c r="D511">
        <v>4</v>
      </c>
      <c r="F511" t="s">
        <v>1529</v>
      </c>
      <c r="G511" t="s">
        <v>1530</v>
      </c>
      <c r="H511" t="s">
        <v>18</v>
      </c>
      <c r="I511" t="s">
        <v>1531</v>
      </c>
      <c r="J511" t="str">
        <f>"9781292024523"</f>
        <v>9781292024523</v>
      </c>
      <c r="K511" t="str">
        <f>"9781292037318"</f>
        <v>9781292037318</v>
      </c>
      <c r="L511" t="s">
        <v>25</v>
      </c>
      <c r="M511" t="s">
        <v>15</v>
      </c>
    </row>
    <row r="512" spans="1:13" x14ac:dyDescent="0.15">
      <c r="A512">
        <v>5137856</v>
      </c>
      <c r="B512" t="s">
        <v>1532</v>
      </c>
      <c r="C512" s="1">
        <v>41515</v>
      </c>
      <c r="D512">
        <v>4</v>
      </c>
      <c r="F512" t="s">
        <v>1529</v>
      </c>
      <c r="G512" t="s">
        <v>1379</v>
      </c>
      <c r="H512" t="s">
        <v>18</v>
      </c>
      <c r="I512" t="s">
        <v>1533</v>
      </c>
      <c r="J512" t="str">
        <f>"9781292039749"</f>
        <v>9781292039749</v>
      </c>
      <c r="K512" t="str">
        <f>"9781292053196"</f>
        <v>9781292053196</v>
      </c>
      <c r="L512" t="s">
        <v>25</v>
      </c>
      <c r="M512" t="s">
        <v>15</v>
      </c>
    </row>
    <row r="513" spans="1:13" x14ac:dyDescent="0.15">
      <c r="A513">
        <v>5137857</v>
      </c>
      <c r="B513" t="s">
        <v>1534</v>
      </c>
      <c r="C513" s="1">
        <v>41515</v>
      </c>
      <c r="D513">
        <v>4</v>
      </c>
      <c r="F513" t="s">
        <v>1529</v>
      </c>
      <c r="G513" t="s">
        <v>1530</v>
      </c>
      <c r="H513" t="s">
        <v>18</v>
      </c>
      <c r="I513" t="s">
        <v>1535</v>
      </c>
      <c r="J513" t="str">
        <f>"9781292039763"</f>
        <v>9781292039763</v>
      </c>
      <c r="K513" t="str">
        <f>"9781292053202"</f>
        <v>9781292053202</v>
      </c>
      <c r="L513" t="s">
        <v>25</v>
      </c>
      <c r="M513" t="s">
        <v>15</v>
      </c>
    </row>
    <row r="514" spans="1:13" x14ac:dyDescent="0.15">
      <c r="A514">
        <v>5137858</v>
      </c>
      <c r="B514" t="s">
        <v>1536</v>
      </c>
      <c r="C514" s="1">
        <v>41478</v>
      </c>
      <c r="D514">
        <v>14</v>
      </c>
      <c r="F514" t="s">
        <v>1537</v>
      </c>
      <c r="G514" t="s">
        <v>1088</v>
      </c>
      <c r="H514" t="s">
        <v>18</v>
      </c>
      <c r="I514" t="s">
        <v>1538</v>
      </c>
      <c r="J514" t="str">
        <f>"9781292026183"</f>
        <v>9781292026183</v>
      </c>
      <c r="K514" t="str">
        <f>"9781292038582"</f>
        <v>9781292038582</v>
      </c>
      <c r="L514" t="s">
        <v>25</v>
      </c>
      <c r="M514" t="s">
        <v>15</v>
      </c>
    </row>
    <row r="515" spans="1:13" x14ac:dyDescent="0.15">
      <c r="A515">
        <v>5137859</v>
      </c>
      <c r="B515" t="s">
        <v>1539</v>
      </c>
      <c r="C515" s="1">
        <v>41509</v>
      </c>
      <c r="D515">
        <v>8</v>
      </c>
      <c r="F515" t="s">
        <v>1540</v>
      </c>
      <c r="G515" t="s">
        <v>1088</v>
      </c>
      <c r="H515" t="s">
        <v>18</v>
      </c>
      <c r="I515" t="s">
        <v>1541</v>
      </c>
      <c r="J515" t="str">
        <f>"9781292026176"</f>
        <v>9781292026176</v>
      </c>
      <c r="K515" t="str">
        <f>"9781292038575"</f>
        <v>9781292038575</v>
      </c>
      <c r="L515" t="s">
        <v>25</v>
      </c>
      <c r="M515" t="s">
        <v>15</v>
      </c>
    </row>
    <row r="516" spans="1:13" x14ac:dyDescent="0.15">
      <c r="A516">
        <v>5137861</v>
      </c>
      <c r="B516" t="s">
        <v>1542</v>
      </c>
      <c r="C516" s="1">
        <v>40640</v>
      </c>
      <c r="D516">
        <v>4</v>
      </c>
      <c r="F516" t="s">
        <v>1543</v>
      </c>
      <c r="G516" t="s">
        <v>596</v>
      </c>
      <c r="H516" t="s">
        <v>18</v>
      </c>
      <c r="I516" t="s">
        <v>1544</v>
      </c>
      <c r="J516" t="str">
        <f>"9780273734680"</f>
        <v>9780273734680</v>
      </c>
      <c r="K516" t="str">
        <f>"9780273734697"</f>
        <v>9780273734697</v>
      </c>
      <c r="L516" t="s">
        <v>25</v>
      </c>
      <c r="M516" t="s">
        <v>594</v>
      </c>
    </row>
    <row r="517" spans="1:13" x14ac:dyDescent="0.15">
      <c r="A517">
        <v>5137862</v>
      </c>
      <c r="B517" t="s">
        <v>1545</v>
      </c>
      <c r="C517" s="1">
        <v>41579</v>
      </c>
      <c r="D517">
        <v>8</v>
      </c>
      <c r="F517" t="s">
        <v>1546</v>
      </c>
      <c r="G517" t="s">
        <v>304</v>
      </c>
      <c r="H517" t="s">
        <v>18</v>
      </c>
      <c r="I517" t="s">
        <v>1547</v>
      </c>
      <c r="J517" t="str">
        <f>"9781292041704"</f>
        <v>9781292041704</v>
      </c>
      <c r="K517" t="str">
        <f>"9781292053219"</f>
        <v>9781292053219</v>
      </c>
      <c r="L517" t="s">
        <v>25</v>
      </c>
      <c r="M517" t="s">
        <v>15</v>
      </c>
    </row>
    <row r="518" spans="1:13" x14ac:dyDescent="0.15">
      <c r="A518">
        <v>5137863</v>
      </c>
      <c r="B518" t="s">
        <v>1548</v>
      </c>
      <c r="C518" s="1">
        <v>40211</v>
      </c>
      <c r="D518">
        <v>1</v>
      </c>
      <c r="F518" t="s">
        <v>1549</v>
      </c>
      <c r="G518" t="s">
        <v>1419</v>
      </c>
      <c r="H518" t="s">
        <v>18</v>
      </c>
      <c r="I518" t="s">
        <v>1550</v>
      </c>
      <c r="J518" t="str">
        <f>"9780273721710"</f>
        <v>9780273721710</v>
      </c>
      <c r="K518" t="str">
        <f>"9780273727361"</f>
        <v>9780273727361</v>
      </c>
      <c r="L518" t="s">
        <v>25</v>
      </c>
      <c r="M518" t="s">
        <v>147</v>
      </c>
    </row>
    <row r="519" spans="1:13" x14ac:dyDescent="0.15">
      <c r="A519">
        <v>5137876</v>
      </c>
      <c r="B519" t="s">
        <v>1551</v>
      </c>
      <c r="C519" s="1">
        <v>41579</v>
      </c>
      <c r="D519">
        <v>6</v>
      </c>
      <c r="F519" t="s">
        <v>1552</v>
      </c>
      <c r="G519" t="s">
        <v>1286</v>
      </c>
      <c r="H519" t="s">
        <v>18</v>
      </c>
      <c r="I519" t="s">
        <v>1553</v>
      </c>
      <c r="J519" t="str">
        <f>"9781292026930"</f>
        <v>9781292026930</v>
      </c>
      <c r="K519" t="str">
        <f>"9781292053233"</f>
        <v>9781292053233</v>
      </c>
      <c r="L519" t="s">
        <v>25</v>
      </c>
      <c r="M519" t="s">
        <v>15</v>
      </c>
    </row>
    <row r="520" spans="1:13" x14ac:dyDescent="0.15">
      <c r="A520">
        <v>5137877</v>
      </c>
      <c r="B520" t="s">
        <v>1554</v>
      </c>
      <c r="C520" s="1">
        <v>41478</v>
      </c>
      <c r="D520">
        <v>10</v>
      </c>
      <c r="F520" t="s">
        <v>1555</v>
      </c>
      <c r="G520" t="s">
        <v>1286</v>
      </c>
      <c r="H520" t="s">
        <v>18</v>
      </c>
      <c r="I520" t="s">
        <v>1556</v>
      </c>
      <c r="J520" t="str">
        <f>"9781292023090"</f>
        <v>9781292023090</v>
      </c>
      <c r="K520" t="str">
        <f>"9781292036274"</f>
        <v>9781292036274</v>
      </c>
      <c r="L520" t="s">
        <v>25</v>
      </c>
      <c r="M520" t="s">
        <v>15</v>
      </c>
    </row>
    <row r="521" spans="1:13" x14ac:dyDescent="0.15">
      <c r="A521">
        <v>5137881</v>
      </c>
      <c r="B521" t="s">
        <v>1557</v>
      </c>
      <c r="C521" s="1">
        <v>41579</v>
      </c>
      <c r="D521">
        <v>6</v>
      </c>
      <c r="F521" t="s">
        <v>1558</v>
      </c>
      <c r="G521" t="s">
        <v>1559</v>
      </c>
      <c r="H521" t="s">
        <v>18</v>
      </c>
      <c r="I521" t="s">
        <v>1560</v>
      </c>
      <c r="J521" t="str">
        <f>"9781292041728"</f>
        <v>9781292041728</v>
      </c>
      <c r="K521" t="str">
        <f>"9781292053240"</f>
        <v>9781292053240</v>
      </c>
      <c r="L521" t="s">
        <v>25</v>
      </c>
      <c r="M521" t="s">
        <v>15</v>
      </c>
    </row>
    <row r="522" spans="1:13" x14ac:dyDescent="0.15">
      <c r="A522">
        <v>5137882</v>
      </c>
      <c r="B522" t="s">
        <v>1357</v>
      </c>
      <c r="C522" s="1">
        <v>41478</v>
      </c>
      <c r="D522">
        <v>3</v>
      </c>
      <c r="F522" t="s">
        <v>1561</v>
      </c>
      <c r="G522" t="s">
        <v>189</v>
      </c>
      <c r="H522" t="s">
        <v>18</v>
      </c>
      <c r="I522" t="s">
        <v>1562</v>
      </c>
      <c r="J522" t="str">
        <f>"9781292025131"</f>
        <v>9781292025131</v>
      </c>
      <c r="K522" t="str">
        <f>"9781292037721"</f>
        <v>9781292037721</v>
      </c>
      <c r="L522" t="s">
        <v>25</v>
      </c>
      <c r="M522" t="s">
        <v>15</v>
      </c>
    </row>
    <row r="523" spans="1:13" x14ac:dyDescent="0.15">
      <c r="A523">
        <v>5137888</v>
      </c>
      <c r="B523" t="s">
        <v>1563</v>
      </c>
      <c r="C523" s="1">
        <v>41396</v>
      </c>
      <c r="D523">
        <v>2</v>
      </c>
      <c r="F523" t="s">
        <v>1564</v>
      </c>
      <c r="G523" t="s">
        <v>117</v>
      </c>
      <c r="H523" t="s">
        <v>18</v>
      </c>
      <c r="I523" t="s">
        <v>1565</v>
      </c>
      <c r="J523" t="str">
        <f>"9781447904441"</f>
        <v>9781447904441</v>
      </c>
      <c r="K523" t="str">
        <f>"9781447904458"</f>
        <v>9781447904458</v>
      </c>
      <c r="L523" t="s">
        <v>25</v>
      </c>
      <c r="M523" t="s">
        <v>15</v>
      </c>
    </row>
    <row r="524" spans="1:13" x14ac:dyDescent="0.15">
      <c r="A524">
        <v>5137889</v>
      </c>
      <c r="B524" t="s">
        <v>1566</v>
      </c>
      <c r="C524" s="1">
        <v>41579</v>
      </c>
      <c r="D524">
        <v>2</v>
      </c>
      <c r="F524" t="s">
        <v>1567</v>
      </c>
      <c r="G524" t="s">
        <v>1568</v>
      </c>
      <c r="H524" t="s">
        <v>18</v>
      </c>
      <c r="I524" t="s">
        <v>1569</v>
      </c>
      <c r="J524" t="str">
        <f>"9781292042497"</f>
        <v>9781292042497</v>
      </c>
      <c r="K524" t="str">
        <f>"9781292053257"</f>
        <v>9781292053257</v>
      </c>
      <c r="L524" t="s">
        <v>25</v>
      </c>
      <c r="M524" t="s">
        <v>15</v>
      </c>
    </row>
    <row r="525" spans="1:13" x14ac:dyDescent="0.15">
      <c r="A525">
        <v>5137896</v>
      </c>
      <c r="B525" t="s">
        <v>1570</v>
      </c>
      <c r="C525" s="1">
        <v>41550</v>
      </c>
      <c r="D525">
        <v>1</v>
      </c>
      <c r="F525" t="s">
        <v>1571</v>
      </c>
      <c r="H525" t="s">
        <v>18</v>
      </c>
      <c r="I525" t="s">
        <v>1572</v>
      </c>
      <c r="J525" t="str">
        <f>""</f>
        <v/>
      </c>
      <c r="K525" t="str">
        <f>"9781292001142"</f>
        <v>9781292001142</v>
      </c>
      <c r="L525" t="s">
        <v>25</v>
      </c>
      <c r="M525" t="s">
        <v>74</v>
      </c>
    </row>
    <row r="526" spans="1:13" x14ac:dyDescent="0.15">
      <c r="A526">
        <v>5137898</v>
      </c>
      <c r="B526" t="s">
        <v>1573</v>
      </c>
      <c r="C526" s="1">
        <v>41533</v>
      </c>
      <c r="D526">
        <v>8</v>
      </c>
      <c r="F526" t="s">
        <v>1574</v>
      </c>
      <c r="G526" t="s">
        <v>1575</v>
      </c>
      <c r="H526" t="s">
        <v>18</v>
      </c>
      <c r="I526" t="s">
        <v>1576</v>
      </c>
      <c r="J526" t="str">
        <f>"9781292042169"</f>
        <v>9781292042169</v>
      </c>
      <c r="K526" t="str">
        <f>"9781292053301"</f>
        <v>9781292053301</v>
      </c>
      <c r="L526" t="s">
        <v>25</v>
      </c>
      <c r="M526" t="s">
        <v>15</v>
      </c>
    </row>
    <row r="527" spans="1:13" x14ac:dyDescent="0.15">
      <c r="A527">
        <v>5137906</v>
      </c>
      <c r="B527" t="s">
        <v>1577</v>
      </c>
      <c r="C527" s="1">
        <v>41579</v>
      </c>
      <c r="D527">
        <v>11</v>
      </c>
      <c r="F527" t="s">
        <v>1578</v>
      </c>
      <c r="G527" t="s">
        <v>1050</v>
      </c>
      <c r="H527" t="s">
        <v>18</v>
      </c>
      <c r="I527" t="s">
        <v>1579</v>
      </c>
      <c r="J527" t="str">
        <f>"9781292042596"</f>
        <v>9781292042596</v>
      </c>
      <c r="K527" t="str">
        <f>"9781292053356"</f>
        <v>9781292053356</v>
      </c>
      <c r="L527" t="s">
        <v>25</v>
      </c>
      <c r="M527" t="s">
        <v>15</v>
      </c>
    </row>
    <row r="528" spans="1:13" x14ac:dyDescent="0.15">
      <c r="A528">
        <v>5137910</v>
      </c>
      <c r="B528" t="s">
        <v>1580</v>
      </c>
      <c r="C528" s="1">
        <v>40725</v>
      </c>
      <c r="D528">
        <v>12</v>
      </c>
      <c r="F528" t="s">
        <v>1581</v>
      </c>
      <c r="G528" t="s">
        <v>836</v>
      </c>
      <c r="H528" t="s">
        <v>18</v>
      </c>
      <c r="I528" t="s">
        <v>1582</v>
      </c>
      <c r="J528" t="str">
        <f>"9780273736905"</f>
        <v>9780273736905</v>
      </c>
      <c r="K528" t="str">
        <f>"9780273736936"</f>
        <v>9780273736936</v>
      </c>
      <c r="L528" t="s">
        <v>25</v>
      </c>
      <c r="M528" t="s">
        <v>39</v>
      </c>
    </row>
    <row r="529" spans="1:13" x14ac:dyDescent="0.15">
      <c r="A529">
        <v>5137911</v>
      </c>
      <c r="B529" t="s">
        <v>1583</v>
      </c>
      <c r="C529" s="1">
        <v>41480</v>
      </c>
      <c r="D529">
        <v>2</v>
      </c>
      <c r="F529" t="s">
        <v>1584</v>
      </c>
      <c r="G529" t="s">
        <v>1530</v>
      </c>
      <c r="H529" t="s">
        <v>18</v>
      </c>
      <c r="I529" t="s">
        <v>1585</v>
      </c>
      <c r="J529" t="str">
        <f>"9781292024080"</f>
        <v>9781292024080</v>
      </c>
      <c r="K529" t="str">
        <f>"9781292037141"</f>
        <v>9781292037141</v>
      </c>
      <c r="L529" t="s">
        <v>25</v>
      </c>
      <c r="M529" t="s">
        <v>15</v>
      </c>
    </row>
    <row r="530" spans="1:13" x14ac:dyDescent="0.15">
      <c r="A530">
        <v>5137912</v>
      </c>
      <c r="B530" t="s">
        <v>1586</v>
      </c>
      <c r="C530" s="1">
        <v>41481</v>
      </c>
      <c r="D530">
        <v>4</v>
      </c>
      <c r="F530" t="s">
        <v>1587</v>
      </c>
      <c r="G530" t="s">
        <v>1379</v>
      </c>
      <c r="H530" t="s">
        <v>18</v>
      </c>
      <c r="I530" t="s">
        <v>1588</v>
      </c>
      <c r="J530" t="str">
        <f>"9781292021423"</f>
        <v>9781292021423</v>
      </c>
      <c r="K530" t="str">
        <f>"9781292034652"</f>
        <v>9781292034652</v>
      </c>
      <c r="L530" t="s">
        <v>25</v>
      </c>
      <c r="M530" t="s">
        <v>15</v>
      </c>
    </row>
    <row r="531" spans="1:13" x14ac:dyDescent="0.15">
      <c r="A531">
        <v>5137914</v>
      </c>
      <c r="B531" t="s">
        <v>1589</v>
      </c>
      <c r="C531" s="1">
        <v>41493</v>
      </c>
      <c r="D531">
        <v>5</v>
      </c>
      <c r="F531" t="s">
        <v>1590</v>
      </c>
      <c r="G531" t="s">
        <v>189</v>
      </c>
      <c r="H531" t="s">
        <v>18</v>
      </c>
      <c r="I531" t="s">
        <v>1591</v>
      </c>
      <c r="J531" t="str">
        <f>"9781292022796"</f>
        <v>9781292022796</v>
      </c>
      <c r="K531" t="str">
        <f>"9781292035994"</f>
        <v>9781292035994</v>
      </c>
      <c r="L531" t="s">
        <v>25</v>
      </c>
      <c r="M531" t="s">
        <v>15</v>
      </c>
    </row>
    <row r="532" spans="1:13" x14ac:dyDescent="0.15">
      <c r="A532">
        <v>5137915</v>
      </c>
      <c r="B532" t="s">
        <v>798</v>
      </c>
      <c r="C532" s="1">
        <v>41486</v>
      </c>
      <c r="D532">
        <v>9</v>
      </c>
      <c r="F532" t="s">
        <v>1592</v>
      </c>
      <c r="G532" t="s">
        <v>189</v>
      </c>
      <c r="H532" t="s">
        <v>18</v>
      </c>
      <c r="I532" t="s">
        <v>1593</v>
      </c>
      <c r="J532" t="str">
        <f>"9781292023359"</f>
        <v>9781292023359</v>
      </c>
      <c r="K532" t="str">
        <f>"9781292036526"</f>
        <v>9781292036526</v>
      </c>
      <c r="L532" t="s">
        <v>25</v>
      </c>
      <c r="M532" t="s">
        <v>15</v>
      </c>
    </row>
    <row r="533" spans="1:13" x14ac:dyDescent="0.15">
      <c r="A533">
        <v>5137922</v>
      </c>
      <c r="B533" t="s">
        <v>1594</v>
      </c>
      <c r="C533" s="1">
        <v>41579</v>
      </c>
      <c r="D533">
        <v>8</v>
      </c>
      <c r="F533" t="s">
        <v>1595</v>
      </c>
      <c r="G533" t="s">
        <v>1596</v>
      </c>
      <c r="H533" t="s">
        <v>18</v>
      </c>
      <c r="I533" t="s">
        <v>1597</v>
      </c>
      <c r="J533" t="str">
        <f>"9781292041735"</f>
        <v>9781292041735</v>
      </c>
      <c r="K533" t="str">
        <f>"9781292053370"</f>
        <v>9781292053370</v>
      </c>
      <c r="L533" t="s">
        <v>25</v>
      </c>
      <c r="M533" t="s">
        <v>15</v>
      </c>
    </row>
    <row r="534" spans="1:13" x14ac:dyDescent="0.15">
      <c r="A534">
        <v>5137925</v>
      </c>
      <c r="B534" t="s">
        <v>1598</v>
      </c>
      <c r="C534" s="1">
        <v>41579</v>
      </c>
      <c r="D534">
        <v>1</v>
      </c>
      <c r="F534" t="s">
        <v>1599</v>
      </c>
      <c r="G534" t="s">
        <v>813</v>
      </c>
      <c r="H534" t="s">
        <v>18</v>
      </c>
      <c r="I534" t="s">
        <v>1600</v>
      </c>
      <c r="J534" t="str">
        <f>"9781292039831"</f>
        <v>9781292039831</v>
      </c>
      <c r="K534" t="str">
        <f>"9781292053387"</f>
        <v>9781292053387</v>
      </c>
      <c r="L534" t="s">
        <v>25</v>
      </c>
      <c r="M534" t="s">
        <v>15</v>
      </c>
    </row>
    <row r="535" spans="1:13" x14ac:dyDescent="0.15">
      <c r="A535">
        <v>5137928</v>
      </c>
      <c r="B535" t="s">
        <v>1601</v>
      </c>
      <c r="C535" s="1">
        <v>41579</v>
      </c>
      <c r="D535">
        <v>5</v>
      </c>
      <c r="F535" t="s">
        <v>1602</v>
      </c>
      <c r="G535" t="s">
        <v>189</v>
      </c>
      <c r="H535" t="s">
        <v>18</v>
      </c>
      <c r="I535" t="s">
        <v>1603</v>
      </c>
      <c r="J535" t="str">
        <f>"9781292039855"</f>
        <v>9781292039855</v>
      </c>
      <c r="K535" t="str">
        <f>"9781292053394"</f>
        <v>9781292053394</v>
      </c>
      <c r="L535" t="s">
        <v>25</v>
      </c>
      <c r="M535" t="s">
        <v>15</v>
      </c>
    </row>
    <row r="536" spans="1:13" x14ac:dyDescent="0.15">
      <c r="A536">
        <v>5137934</v>
      </c>
      <c r="B536" t="s">
        <v>1604</v>
      </c>
      <c r="C536" s="1">
        <v>41550</v>
      </c>
      <c r="D536">
        <v>4</v>
      </c>
      <c r="F536" t="s">
        <v>1605</v>
      </c>
      <c r="H536" t="s">
        <v>18</v>
      </c>
      <c r="I536" t="s">
        <v>1606</v>
      </c>
      <c r="J536" t="str">
        <f>"9781292042183"</f>
        <v>9781292042183</v>
      </c>
      <c r="K536" t="str">
        <f>"9781292053417"</f>
        <v>9781292053417</v>
      </c>
      <c r="L536" t="s">
        <v>25</v>
      </c>
      <c r="M536" t="s">
        <v>15</v>
      </c>
    </row>
    <row r="537" spans="1:13" x14ac:dyDescent="0.15">
      <c r="A537">
        <v>5137946</v>
      </c>
      <c r="B537" t="s">
        <v>1607</v>
      </c>
      <c r="C537" s="1">
        <v>41478</v>
      </c>
      <c r="D537">
        <v>12</v>
      </c>
      <c r="F537" t="s">
        <v>1608</v>
      </c>
      <c r="G537" t="s">
        <v>27</v>
      </c>
      <c r="H537" t="s">
        <v>18</v>
      </c>
      <c r="I537" t="s">
        <v>1609</v>
      </c>
      <c r="J537" t="str">
        <f>"9781292022581"</f>
        <v>9781292022581</v>
      </c>
      <c r="K537" t="str">
        <f>"9781292035789"</f>
        <v>9781292035789</v>
      </c>
      <c r="L537" t="s">
        <v>25</v>
      </c>
      <c r="M537" t="s">
        <v>15</v>
      </c>
    </row>
    <row r="538" spans="1:13" x14ac:dyDescent="0.15">
      <c r="A538">
        <v>5137947</v>
      </c>
      <c r="B538" t="s">
        <v>450</v>
      </c>
      <c r="C538" s="1">
        <v>41137</v>
      </c>
      <c r="D538">
        <v>2</v>
      </c>
      <c r="F538" t="s">
        <v>1610</v>
      </c>
      <c r="G538" t="s">
        <v>117</v>
      </c>
      <c r="H538" t="s">
        <v>18</v>
      </c>
      <c r="I538" t="s">
        <v>1611</v>
      </c>
      <c r="J538" t="str">
        <f>"9781405858786"</f>
        <v>9781405858786</v>
      </c>
      <c r="K538" t="str">
        <f>"9781447922872"</f>
        <v>9781447922872</v>
      </c>
      <c r="L538" t="s">
        <v>25</v>
      </c>
      <c r="M538" t="s">
        <v>15</v>
      </c>
    </row>
    <row r="539" spans="1:13" x14ac:dyDescent="0.15">
      <c r="A539">
        <v>5137951</v>
      </c>
      <c r="B539" t="s">
        <v>1612</v>
      </c>
      <c r="C539" s="1">
        <v>41473</v>
      </c>
      <c r="D539">
        <v>7</v>
      </c>
      <c r="F539" t="s">
        <v>1613</v>
      </c>
      <c r="G539" t="s">
        <v>1614</v>
      </c>
      <c r="H539" t="s">
        <v>18</v>
      </c>
      <c r="I539" t="s">
        <v>1615</v>
      </c>
      <c r="J539" t="str">
        <f>"9781292021041"</f>
        <v>9781292021041</v>
      </c>
      <c r="K539" t="str">
        <f>"9781292034294"</f>
        <v>9781292034294</v>
      </c>
      <c r="L539" t="s">
        <v>25</v>
      </c>
      <c r="M539" t="s">
        <v>15</v>
      </c>
    </row>
    <row r="540" spans="1:13" x14ac:dyDescent="0.15">
      <c r="A540">
        <v>5137956</v>
      </c>
      <c r="B540" t="s">
        <v>1616</v>
      </c>
      <c r="C540" s="1">
        <v>41579</v>
      </c>
      <c r="D540">
        <v>5</v>
      </c>
      <c r="F540" t="s">
        <v>1617</v>
      </c>
      <c r="G540" t="s">
        <v>65</v>
      </c>
      <c r="H540" t="s">
        <v>18</v>
      </c>
      <c r="I540" t="s">
        <v>1618</v>
      </c>
      <c r="J540" t="str">
        <f>"9781292040790"</f>
        <v>9781292040790</v>
      </c>
      <c r="K540" t="str">
        <f>"9781292053479"</f>
        <v>9781292053479</v>
      </c>
      <c r="L540" t="s">
        <v>25</v>
      </c>
      <c r="M540" t="s">
        <v>15</v>
      </c>
    </row>
    <row r="541" spans="1:13" x14ac:dyDescent="0.15">
      <c r="A541">
        <v>5137958</v>
      </c>
      <c r="B541" t="s">
        <v>1619</v>
      </c>
      <c r="C541" s="1">
        <v>40878</v>
      </c>
      <c r="D541">
        <v>1</v>
      </c>
      <c r="F541" t="s">
        <v>1620</v>
      </c>
      <c r="G541" t="s">
        <v>873</v>
      </c>
      <c r="H541" t="s">
        <v>18</v>
      </c>
      <c r="I541" t="s">
        <v>1621</v>
      </c>
      <c r="J541" t="str">
        <f>"9781408284841"</f>
        <v>9781408284841</v>
      </c>
      <c r="K541" t="str">
        <f>"9781408284858"</f>
        <v>9781408284858</v>
      </c>
      <c r="L541" t="s">
        <v>25</v>
      </c>
      <c r="M541" t="s">
        <v>147</v>
      </c>
    </row>
    <row r="542" spans="1:13" x14ac:dyDescent="0.15">
      <c r="A542">
        <v>5137959</v>
      </c>
      <c r="B542" t="s">
        <v>1622</v>
      </c>
      <c r="C542" s="1">
        <v>41579</v>
      </c>
      <c r="D542">
        <v>3</v>
      </c>
      <c r="F542" t="s">
        <v>1623</v>
      </c>
      <c r="G542" t="s">
        <v>27</v>
      </c>
      <c r="H542" t="s">
        <v>18</v>
      </c>
      <c r="I542" t="s">
        <v>1624</v>
      </c>
      <c r="J542" t="str">
        <f>"9781292041551"</f>
        <v>9781292041551</v>
      </c>
      <c r="K542" t="str">
        <f>"9781292053486"</f>
        <v>9781292053486</v>
      </c>
      <c r="L542" t="s">
        <v>25</v>
      </c>
      <c r="M542" t="s">
        <v>15</v>
      </c>
    </row>
    <row r="543" spans="1:13" x14ac:dyDescent="0.15">
      <c r="A543">
        <v>5137961</v>
      </c>
      <c r="B543" t="s">
        <v>1625</v>
      </c>
      <c r="C543" s="1">
        <v>41484</v>
      </c>
      <c r="D543">
        <v>10</v>
      </c>
      <c r="F543" t="s">
        <v>1626</v>
      </c>
      <c r="G543" t="s">
        <v>27</v>
      </c>
      <c r="H543" t="s">
        <v>18</v>
      </c>
      <c r="I543" t="s">
        <v>1627</v>
      </c>
      <c r="J543" t="str">
        <f>"9781292024905"</f>
        <v>9781292024905</v>
      </c>
      <c r="K543" t="str">
        <f>"9781292037547"</f>
        <v>9781292037547</v>
      </c>
      <c r="L543" t="s">
        <v>25</v>
      </c>
      <c r="M543" t="s">
        <v>15</v>
      </c>
    </row>
    <row r="544" spans="1:13" x14ac:dyDescent="0.15">
      <c r="A544">
        <v>5137962</v>
      </c>
      <c r="B544" t="s">
        <v>1628</v>
      </c>
      <c r="C544" s="1">
        <v>41579</v>
      </c>
      <c r="D544">
        <v>6</v>
      </c>
      <c r="F544" t="s">
        <v>1629</v>
      </c>
      <c r="G544" t="s">
        <v>36</v>
      </c>
      <c r="H544" t="s">
        <v>18</v>
      </c>
      <c r="I544" t="s">
        <v>1630</v>
      </c>
      <c r="J544" t="str">
        <f>"9781292040356"</f>
        <v>9781292040356</v>
      </c>
      <c r="K544" t="str">
        <f>"9781292053509"</f>
        <v>9781292053509</v>
      </c>
      <c r="L544" t="s">
        <v>25</v>
      </c>
      <c r="M544" t="s">
        <v>15</v>
      </c>
    </row>
    <row r="545" spans="1:13" x14ac:dyDescent="0.15">
      <c r="A545">
        <v>5137965</v>
      </c>
      <c r="B545" t="s">
        <v>1631</v>
      </c>
      <c r="C545" s="1">
        <v>41473</v>
      </c>
      <c r="D545">
        <v>2</v>
      </c>
      <c r="F545" t="s">
        <v>1632</v>
      </c>
      <c r="G545" t="s">
        <v>1530</v>
      </c>
      <c r="H545" t="s">
        <v>18</v>
      </c>
      <c r="I545" t="s">
        <v>1633</v>
      </c>
      <c r="J545" t="str">
        <f>"9781292023267"</f>
        <v>9781292023267</v>
      </c>
      <c r="K545" t="str">
        <f>"9781292036434"</f>
        <v>9781292036434</v>
      </c>
      <c r="L545" t="s">
        <v>25</v>
      </c>
      <c r="M545" t="s">
        <v>15</v>
      </c>
    </row>
    <row r="546" spans="1:13" x14ac:dyDescent="0.15">
      <c r="A546">
        <v>5137970</v>
      </c>
      <c r="B546" t="s">
        <v>1634</v>
      </c>
      <c r="C546" s="1">
        <v>41579</v>
      </c>
      <c r="D546">
        <v>1</v>
      </c>
      <c r="F546" t="s">
        <v>1635</v>
      </c>
      <c r="G546" t="s">
        <v>1530</v>
      </c>
      <c r="H546" t="s">
        <v>18</v>
      </c>
      <c r="I546" t="s">
        <v>1636</v>
      </c>
      <c r="J546" t="str">
        <f>"9781292039145"</f>
        <v>9781292039145</v>
      </c>
      <c r="K546" t="str">
        <f>"9781292053530"</f>
        <v>9781292053530</v>
      </c>
      <c r="L546" t="s">
        <v>25</v>
      </c>
      <c r="M546" t="s">
        <v>15</v>
      </c>
    </row>
    <row r="547" spans="1:13" x14ac:dyDescent="0.15">
      <c r="A547">
        <v>5137971</v>
      </c>
      <c r="B547" t="s">
        <v>1637</v>
      </c>
      <c r="C547" s="1">
        <v>41485</v>
      </c>
      <c r="D547">
        <v>8</v>
      </c>
      <c r="F547" t="s">
        <v>1638</v>
      </c>
      <c r="G547" t="s">
        <v>1120</v>
      </c>
      <c r="H547" t="s">
        <v>18</v>
      </c>
      <c r="I547" t="s">
        <v>1639</v>
      </c>
      <c r="J547" t="str">
        <f>"9781292020884"</f>
        <v>9781292020884</v>
      </c>
      <c r="K547" t="str">
        <f>"9781292034133"</f>
        <v>9781292034133</v>
      </c>
      <c r="L547" t="s">
        <v>25</v>
      </c>
      <c r="M547" t="s">
        <v>15</v>
      </c>
    </row>
    <row r="548" spans="1:13" x14ac:dyDescent="0.15">
      <c r="A548">
        <v>5137972</v>
      </c>
      <c r="B548" t="s">
        <v>1640</v>
      </c>
      <c r="C548" s="1">
        <v>41484</v>
      </c>
      <c r="D548">
        <v>2</v>
      </c>
      <c r="F548" t="s">
        <v>1641</v>
      </c>
      <c r="G548" t="s">
        <v>189</v>
      </c>
      <c r="H548" t="s">
        <v>18</v>
      </c>
      <c r="I548" t="s">
        <v>1642</v>
      </c>
      <c r="J548" t="str">
        <f>"9781292025018"</f>
        <v>9781292025018</v>
      </c>
      <c r="K548" t="str">
        <f>"9781292037646"</f>
        <v>9781292037646</v>
      </c>
      <c r="L548" t="s">
        <v>25</v>
      </c>
      <c r="M548" t="s">
        <v>15</v>
      </c>
    </row>
    <row r="549" spans="1:13" x14ac:dyDescent="0.15">
      <c r="A549">
        <v>5137981</v>
      </c>
      <c r="B549" t="s">
        <v>1643</v>
      </c>
      <c r="C549" s="1">
        <v>41481</v>
      </c>
      <c r="D549">
        <v>4</v>
      </c>
      <c r="F549" t="s">
        <v>1644</v>
      </c>
      <c r="G549" t="s">
        <v>478</v>
      </c>
      <c r="H549" t="s">
        <v>18</v>
      </c>
      <c r="I549" t="s">
        <v>1645</v>
      </c>
      <c r="J549" t="str">
        <f>"9781292024257"</f>
        <v>9781292024257</v>
      </c>
      <c r="K549" t="str">
        <f>"9781292037196"</f>
        <v>9781292037196</v>
      </c>
      <c r="L549" t="s">
        <v>25</v>
      </c>
      <c r="M549" t="s">
        <v>15</v>
      </c>
    </row>
    <row r="550" spans="1:13" x14ac:dyDescent="0.15">
      <c r="A550">
        <v>5137983</v>
      </c>
      <c r="B550" t="s">
        <v>1646</v>
      </c>
      <c r="C550" s="1">
        <v>41513</v>
      </c>
      <c r="D550">
        <v>4</v>
      </c>
      <c r="F550" t="s">
        <v>1647</v>
      </c>
      <c r="H550" t="s">
        <v>18</v>
      </c>
      <c r="I550" t="s">
        <v>1648</v>
      </c>
      <c r="J550" t="str">
        <f>"9781292021577"</f>
        <v>9781292021577</v>
      </c>
      <c r="K550" t="str">
        <f>"9781292034805"</f>
        <v>9781292034805</v>
      </c>
      <c r="L550" t="s">
        <v>25</v>
      </c>
      <c r="M550" t="s">
        <v>15</v>
      </c>
    </row>
    <row r="551" spans="1:13" x14ac:dyDescent="0.15">
      <c r="A551">
        <v>5137989</v>
      </c>
      <c r="B551" t="s">
        <v>627</v>
      </c>
      <c r="C551" s="1">
        <v>41478</v>
      </c>
      <c r="D551">
        <v>11</v>
      </c>
      <c r="F551" t="s">
        <v>1649</v>
      </c>
      <c r="G551" t="s">
        <v>304</v>
      </c>
      <c r="H551" t="s">
        <v>18</v>
      </c>
      <c r="I551" t="s">
        <v>1650</v>
      </c>
      <c r="J551" t="str">
        <f>"9781292020327"</f>
        <v>9781292020327</v>
      </c>
      <c r="K551" t="str">
        <f>"9781292033662"</f>
        <v>9781292033662</v>
      </c>
      <c r="L551" t="s">
        <v>25</v>
      </c>
      <c r="M551" t="s">
        <v>15</v>
      </c>
    </row>
    <row r="552" spans="1:13" x14ac:dyDescent="0.15">
      <c r="A552">
        <v>5137990</v>
      </c>
      <c r="B552" t="s">
        <v>1651</v>
      </c>
      <c r="C552" s="1">
        <v>41579</v>
      </c>
      <c r="D552">
        <v>11</v>
      </c>
      <c r="F552" t="s">
        <v>1649</v>
      </c>
      <c r="G552" t="s">
        <v>304</v>
      </c>
      <c r="H552" t="s">
        <v>18</v>
      </c>
      <c r="I552" t="s">
        <v>1652</v>
      </c>
      <c r="J552" t="str">
        <f>"9781292039862"</f>
        <v>9781292039862</v>
      </c>
      <c r="K552" t="str">
        <f>"9781292053585"</f>
        <v>9781292053585</v>
      </c>
      <c r="L552" t="s">
        <v>25</v>
      </c>
      <c r="M552" t="s">
        <v>15</v>
      </c>
    </row>
    <row r="553" spans="1:13" x14ac:dyDescent="0.15">
      <c r="A553">
        <v>5137993</v>
      </c>
      <c r="B553" t="s">
        <v>1653</v>
      </c>
      <c r="C553" s="1">
        <v>40842</v>
      </c>
      <c r="D553">
        <v>2</v>
      </c>
      <c r="F553" t="s">
        <v>1654</v>
      </c>
      <c r="G553" t="s">
        <v>65</v>
      </c>
      <c r="H553" t="s">
        <v>18</v>
      </c>
      <c r="I553" t="s">
        <v>1655</v>
      </c>
      <c r="J553" t="str">
        <f>"9780273761228"</f>
        <v>9780273761228</v>
      </c>
      <c r="K553" t="str">
        <f>"9780273769637"</f>
        <v>9780273769637</v>
      </c>
      <c r="L553" t="s">
        <v>25</v>
      </c>
      <c r="M553" t="s">
        <v>51</v>
      </c>
    </row>
    <row r="554" spans="1:13" x14ac:dyDescent="0.15">
      <c r="A554">
        <v>5137996</v>
      </c>
      <c r="B554" t="s">
        <v>1656</v>
      </c>
      <c r="C554" s="1">
        <v>40469</v>
      </c>
      <c r="D554">
        <v>1</v>
      </c>
      <c r="F554" t="s">
        <v>163</v>
      </c>
      <c r="G554" t="s">
        <v>1657</v>
      </c>
      <c r="H554" t="s">
        <v>18</v>
      </c>
      <c r="I554" t="s">
        <v>1658</v>
      </c>
      <c r="J554" t="str">
        <f>"9780273734185"</f>
        <v>9780273734185</v>
      </c>
      <c r="K554" t="str">
        <f>"9780273734192"</f>
        <v>9780273734192</v>
      </c>
      <c r="L554" t="s">
        <v>25</v>
      </c>
      <c r="M554" t="s">
        <v>98</v>
      </c>
    </row>
    <row r="555" spans="1:13" x14ac:dyDescent="0.15">
      <c r="A555">
        <v>5137998</v>
      </c>
      <c r="B555" t="s">
        <v>1659</v>
      </c>
      <c r="C555" s="1">
        <v>41487</v>
      </c>
      <c r="D555">
        <v>2</v>
      </c>
      <c r="F555" t="s">
        <v>163</v>
      </c>
      <c r="G555" t="s">
        <v>117</v>
      </c>
      <c r="H555" t="s">
        <v>18</v>
      </c>
      <c r="I555" t="s">
        <v>1660</v>
      </c>
      <c r="J555" t="str">
        <f>"9780273783633"</f>
        <v>9780273783633</v>
      </c>
      <c r="K555" t="str">
        <f>"9780273783664"</f>
        <v>9780273783664</v>
      </c>
      <c r="L555" t="s">
        <v>25</v>
      </c>
      <c r="M555" t="s">
        <v>15</v>
      </c>
    </row>
    <row r="556" spans="1:13" x14ac:dyDescent="0.15">
      <c r="A556">
        <v>5138006</v>
      </c>
      <c r="B556" t="s">
        <v>1661</v>
      </c>
      <c r="C556" s="1">
        <v>41469</v>
      </c>
      <c r="D556">
        <v>10</v>
      </c>
      <c r="F556" t="s">
        <v>1662</v>
      </c>
      <c r="G556" t="s">
        <v>27</v>
      </c>
      <c r="H556" t="s">
        <v>18</v>
      </c>
      <c r="I556" t="s">
        <v>1663</v>
      </c>
      <c r="J556" t="str">
        <f>"9781292022024"</f>
        <v>9781292022024</v>
      </c>
      <c r="K556" t="str">
        <f>"9781292035239"</f>
        <v>9781292035239</v>
      </c>
      <c r="L556" t="s">
        <v>25</v>
      </c>
      <c r="M556" t="s">
        <v>15</v>
      </c>
    </row>
    <row r="557" spans="1:13" x14ac:dyDescent="0.15">
      <c r="A557">
        <v>5138007</v>
      </c>
      <c r="B557" t="s">
        <v>1664</v>
      </c>
      <c r="C557" s="1">
        <v>41455</v>
      </c>
      <c r="D557">
        <v>1</v>
      </c>
      <c r="F557" t="s">
        <v>1665</v>
      </c>
      <c r="G557" t="s">
        <v>1379</v>
      </c>
      <c r="H557" t="s">
        <v>18</v>
      </c>
      <c r="I557" t="s">
        <v>1666</v>
      </c>
      <c r="J557" t="str">
        <f>"9781292026220"</f>
        <v>9781292026220</v>
      </c>
      <c r="K557" t="str">
        <f>"9781292038629"</f>
        <v>9781292038629</v>
      </c>
      <c r="L557" t="s">
        <v>25</v>
      </c>
      <c r="M557" t="s">
        <v>15</v>
      </c>
    </row>
    <row r="558" spans="1:13" x14ac:dyDescent="0.15">
      <c r="A558">
        <v>5138009</v>
      </c>
      <c r="B558" t="s">
        <v>1667</v>
      </c>
      <c r="C558" s="1">
        <v>41472</v>
      </c>
      <c r="D558">
        <v>2</v>
      </c>
      <c r="F558" t="s">
        <v>1668</v>
      </c>
      <c r="G558" t="s">
        <v>1669</v>
      </c>
      <c r="H558" t="s">
        <v>18</v>
      </c>
      <c r="I558" t="s">
        <v>1670</v>
      </c>
      <c r="J558" t="str">
        <f>"9781292023083"</f>
        <v>9781292023083</v>
      </c>
      <c r="K558" t="str">
        <f>"9781292036267"</f>
        <v>9781292036267</v>
      </c>
      <c r="L558" t="s">
        <v>25</v>
      </c>
      <c r="M558" t="s">
        <v>15</v>
      </c>
    </row>
    <row r="559" spans="1:13" x14ac:dyDescent="0.15">
      <c r="A559">
        <v>5138010</v>
      </c>
      <c r="B559" t="s">
        <v>1671</v>
      </c>
      <c r="C559" s="1">
        <v>41579</v>
      </c>
      <c r="D559">
        <v>13</v>
      </c>
      <c r="F559" t="s">
        <v>1672</v>
      </c>
      <c r="G559" t="s">
        <v>813</v>
      </c>
      <c r="H559" t="s">
        <v>18</v>
      </c>
      <c r="I559" t="s">
        <v>1673</v>
      </c>
      <c r="J559" t="str">
        <f>"9781292026794"</f>
        <v>9781292026794</v>
      </c>
      <c r="K559" t="str">
        <f>"9781292053608"</f>
        <v>9781292053608</v>
      </c>
      <c r="L559" t="s">
        <v>25</v>
      </c>
      <c r="M559" t="s">
        <v>15</v>
      </c>
    </row>
    <row r="560" spans="1:13" x14ac:dyDescent="0.15">
      <c r="A560">
        <v>5138011</v>
      </c>
      <c r="B560" t="s">
        <v>1674</v>
      </c>
      <c r="C560" s="1">
        <v>40717</v>
      </c>
      <c r="D560">
        <v>4</v>
      </c>
      <c r="F560" t="s">
        <v>1675</v>
      </c>
      <c r="G560" t="s">
        <v>1676</v>
      </c>
      <c r="H560" t="s">
        <v>18</v>
      </c>
      <c r="I560" t="s">
        <v>1677</v>
      </c>
      <c r="J560" t="str">
        <f>"9780273722595"</f>
        <v>9780273722595</v>
      </c>
      <c r="K560" t="str">
        <f>"9780273722632"</f>
        <v>9780273722632</v>
      </c>
      <c r="L560" t="s">
        <v>25</v>
      </c>
      <c r="M560" t="s">
        <v>112</v>
      </c>
    </row>
    <row r="561" spans="1:13" x14ac:dyDescent="0.15">
      <c r="A561">
        <v>5138016</v>
      </c>
      <c r="B561" t="s">
        <v>1526</v>
      </c>
      <c r="C561" s="1">
        <v>41579</v>
      </c>
      <c r="D561">
        <v>5</v>
      </c>
      <c r="F561" t="s">
        <v>1678</v>
      </c>
      <c r="G561" t="s">
        <v>1530</v>
      </c>
      <c r="H561" t="s">
        <v>18</v>
      </c>
      <c r="I561" t="s">
        <v>1679</v>
      </c>
      <c r="J561" t="str">
        <f>"9781292039589"</f>
        <v>9781292039589</v>
      </c>
      <c r="K561" t="str">
        <f>"9781292053615"</f>
        <v>9781292053615</v>
      </c>
      <c r="L561" t="s">
        <v>25</v>
      </c>
      <c r="M561" t="s">
        <v>15</v>
      </c>
    </row>
    <row r="562" spans="1:13" x14ac:dyDescent="0.15">
      <c r="A562">
        <v>5138023</v>
      </c>
      <c r="B562" t="s">
        <v>1680</v>
      </c>
      <c r="C562" s="1">
        <v>41183</v>
      </c>
      <c r="D562">
        <v>4</v>
      </c>
      <c r="F562" t="s">
        <v>1681</v>
      </c>
      <c r="G562" t="s">
        <v>117</v>
      </c>
      <c r="H562" t="s">
        <v>18</v>
      </c>
      <c r="I562" t="s">
        <v>1682</v>
      </c>
      <c r="J562" t="str">
        <f>"9781408294482"</f>
        <v>9781408294482</v>
      </c>
      <c r="K562" t="str">
        <f>"9781408294505"</f>
        <v>9781408294505</v>
      </c>
      <c r="L562" t="s">
        <v>25</v>
      </c>
      <c r="M562" t="s">
        <v>15</v>
      </c>
    </row>
    <row r="563" spans="1:13" x14ac:dyDescent="0.15">
      <c r="A563">
        <v>5138024</v>
      </c>
      <c r="B563" t="s">
        <v>1683</v>
      </c>
      <c r="C563" s="1">
        <v>41481</v>
      </c>
      <c r="D563">
        <v>7</v>
      </c>
      <c r="F563" t="s">
        <v>1684</v>
      </c>
      <c r="G563" t="s">
        <v>189</v>
      </c>
      <c r="H563" t="s">
        <v>18</v>
      </c>
      <c r="I563" t="s">
        <v>1685</v>
      </c>
      <c r="J563" t="str">
        <f>"9781292024998"</f>
        <v>9781292024998</v>
      </c>
      <c r="K563" t="str">
        <f>"9781292037622"</f>
        <v>9781292037622</v>
      </c>
      <c r="L563" t="s">
        <v>25</v>
      </c>
      <c r="M563" t="s">
        <v>15</v>
      </c>
    </row>
    <row r="564" spans="1:13" x14ac:dyDescent="0.15">
      <c r="A564">
        <v>5138034</v>
      </c>
      <c r="B564" t="s">
        <v>1686</v>
      </c>
      <c r="C564" s="1">
        <v>41579</v>
      </c>
      <c r="D564">
        <v>4</v>
      </c>
      <c r="F564" t="s">
        <v>1687</v>
      </c>
      <c r="G564" t="s">
        <v>946</v>
      </c>
      <c r="H564" t="s">
        <v>18</v>
      </c>
      <c r="I564" t="s">
        <v>1688</v>
      </c>
      <c r="J564" t="str">
        <f>"9781292026954"</f>
        <v>9781292026954</v>
      </c>
      <c r="K564" t="str">
        <f>"9781292053639"</f>
        <v>9781292053639</v>
      </c>
      <c r="L564" t="s">
        <v>25</v>
      </c>
      <c r="M564" t="s">
        <v>15</v>
      </c>
    </row>
    <row r="565" spans="1:13" x14ac:dyDescent="0.15">
      <c r="A565">
        <v>5138037</v>
      </c>
      <c r="B565" t="s">
        <v>1689</v>
      </c>
      <c r="C565" s="1">
        <v>39569</v>
      </c>
      <c r="D565">
        <v>10</v>
      </c>
      <c r="F565" t="s">
        <v>1690</v>
      </c>
      <c r="G565" t="s">
        <v>36</v>
      </c>
      <c r="H565" t="s">
        <v>18</v>
      </c>
      <c r="I565" t="s">
        <v>1691</v>
      </c>
      <c r="J565" t="str">
        <f>"9780273711414"</f>
        <v>9780273711414</v>
      </c>
      <c r="K565" t="str">
        <f>"9780273732723"</f>
        <v>9780273732723</v>
      </c>
      <c r="L565" t="s">
        <v>25</v>
      </c>
      <c r="M565" t="s">
        <v>39</v>
      </c>
    </row>
    <row r="566" spans="1:13" x14ac:dyDescent="0.15">
      <c r="A566">
        <v>5138041</v>
      </c>
      <c r="B566" t="s">
        <v>1692</v>
      </c>
      <c r="C566" s="1">
        <v>41507</v>
      </c>
      <c r="D566">
        <v>9</v>
      </c>
      <c r="F566" t="s">
        <v>1693</v>
      </c>
      <c r="G566" t="s">
        <v>304</v>
      </c>
      <c r="H566" t="s">
        <v>18</v>
      </c>
      <c r="I566" t="s">
        <v>1694</v>
      </c>
      <c r="J566" t="str">
        <f>"9781292027173"</f>
        <v>9781292027173</v>
      </c>
      <c r="K566" t="str">
        <f>"9781292053646"</f>
        <v>9781292053646</v>
      </c>
      <c r="L566" t="s">
        <v>25</v>
      </c>
      <c r="M566" t="s">
        <v>15</v>
      </c>
    </row>
    <row r="567" spans="1:13" x14ac:dyDescent="0.15">
      <c r="A567">
        <v>5138043</v>
      </c>
      <c r="B567" t="s">
        <v>1695</v>
      </c>
      <c r="C567" s="1">
        <v>41579</v>
      </c>
      <c r="D567">
        <v>11</v>
      </c>
      <c r="F567" t="s">
        <v>1696</v>
      </c>
      <c r="G567" t="s">
        <v>36</v>
      </c>
      <c r="H567" t="s">
        <v>18</v>
      </c>
      <c r="I567" t="s">
        <v>1697</v>
      </c>
      <c r="J567" t="str">
        <f>"9781292040578"</f>
        <v>9781292040578</v>
      </c>
      <c r="K567" t="str">
        <f>"9781292056395"</f>
        <v>9781292056395</v>
      </c>
      <c r="L567" t="s">
        <v>25</v>
      </c>
      <c r="M567" t="s">
        <v>15</v>
      </c>
    </row>
    <row r="568" spans="1:13" x14ac:dyDescent="0.15">
      <c r="A568">
        <v>5138046</v>
      </c>
      <c r="B568" t="s">
        <v>1698</v>
      </c>
      <c r="C568" s="1">
        <v>41579</v>
      </c>
      <c r="D568">
        <v>5</v>
      </c>
      <c r="F568" t="s">
        <v>1699</v>
      </c>
      <c r="G568" t="s">
        <v>189</v>
      </c>
      <c r="H568" t="s">
        <v>18</v>
      </c>
      <c r="I568" t="s">
        <v>1700</v>
      </c>
      <c r="J568" t="str">
        <f>"9781292040806"</f>
        <v>9781292040806</v>
      </c>
      <c r="K568" t="str">
        <f>"9781292053653"</f>
        <v>9781292053653</v>
      </c>
      <c r="L568" t="s">
        <v>25</v>
      </c>
      <c r="M568" t="s">
        <v>15</v>
      </c>
    </row>
    <row r="569" spans="1:13" x14ac:dyDescent="0.15">
      <c r="A569">
        <v>5138047</v>
      </c>
      <c r="B569" t="s">
        <v>1701</v>
      </c>
      <c r="C569" s="1">
        <v>40162</v>
      </c>
      <c r="D569">
        <v>4</v>
      </c>
      <c r="F569" t="s">
        <v>1702</v>
      </c>
      <c r="G569" t="s">
        <v>351</v>
      </c>
      <c r="H569" t="s">
        <v>18</v>
      </c>
      <c r="I569" t="s">
        <v>1703</v>
      </c>
      <c r="J569" t="str">
        <f>"9780273715450"</f>
        <v>9780273715450</v>
      </c>
      <c r="K569" t="str">
        <f>"9780273733003"</f>
        <v>9780273733003</v>
      </c>
      <c r="L569" t="s">
        <v>25</v>
      </c>
      <c r="M569" t="s">
        <v>112</v>
      </c>
    </row>
    <row r="570" spans="1:13" x14ac:dyDescent="0.15">
      <c r="A570">
        <v>5138048</v>
      </c>
      <c r="B570" t="s">
        <v>1704</v>
      </c>
      <c r="C570" s="1">
        <v>41060</v>
      </c>
      <c r="D570">
        <v>4</v>
      </c>
      <c r="F570" t="s">
        <v>1705</v>
      </c>
      <c r="G570" t="s">
        <v>351</v>
      </c>
      <c r="H570" t="s">
        <v>18</v>
      </c>
      <c r="I570" t="s">
        <v>1706</v>
      </c>
      <c r="J570" t="str">
        <f>"9780273742753"</f>
        <v>9780273742753</v>
      </c>
      <c r="K570" t="str">
        <f>"9780273742784"</f>
        <v>9780273742784</v>
      </c>
      <c r="L570" t="s">
        <v>25</v>
      </c>
      <c r="M570" t="s">
        <v>15</v>
      </c>
    </row>
    <row r="571" spans="1:13" x14ac:dyDescent="0.15">
      <c r="A571">
        <v>5138058</v>
      </c>
      <c r="B571" t="s">
        <v>1707</v>
      </c>
      <c r="C571" s="1">
        <v>41579</v>
      </c>
      <c r="D571">
        <v>4</v>
      </c>
      <c r="F571" t="s">
        <v>1708</v>
      </c>
      <c r="G571" t="s">
        <v>27</v>
      </c>
      <c r="H571" t="s">
        <v>18</v>
      </c>
      <c r="I571" t="s">
        <v>1709</v>
      </c>
      <c r="J571" t="str">
        <f>"9781292041391"</f>
        <v>9781292041391</v>
      </c>
      <c r="K571" t="str">
        <f>"9781292053660"</f>
        <v>9781292053660</v>
      </c>
      <c r="L571" t="s">
        <v>25</v>
      </c>
      <c r="M571" t="s">
        <v>15</v>
      </c>
    </row>
    <row r="572" spans="1:13" x14ac:dyDescent="0.15">
      <c r="A572">
        <v>5138078</v>
      </c>
      <c r="B572" t="s">
        <v>1710</v>
      </c>
      <c r="C572" s="1">
        <v>41515</v>
      </c>
      <c r="D572">
        <v>2</v>
      </c>
      <c r="F572" t="s">
        <v>1711</v>
      </c>
      <c r="H572" t="s">
        <v>18</v>
      </c>
      <c r="I572" t="s">
        <v>1712</v>
      </c>
      <c r="J572" t="str">
        <f>"9781292024950"</f>
        <v>9781292024950</v>
      </c>
      <c r="K572" t="str">
        <f>"9781292037585"</f>
        <v>9781292037585</v>
      </c>
      <c r="L572" t="s">
        <v>25</v>
      </c>
      <c r="M572" t="s">
        <v>15</v>
      </c>
    </row>
    <row r="573" spans="1:13" x14ac:dyDescent="0.15">
      <c r="A573">
        <v>5138081</v>
      </c>
      <c r="B573" t="s">
        <v>1713</v>
      </c>
      <c r="C573" s="1">
        <v>41491</v>
      </c>
      <c r="D573">
        <v>2</v>
      </c>
      <c r="F573" t="s">
        <v>1714</v>
      </c>
      <c r="H573" t="s">
        <v>18</v>
      </c>
      <c r="I573" t="s">
        <v>1715</v>
      </c>
      <c r="J573" t="str">
        <f>"9781292026404"</f>
        <v>9781292026404</v>
      </c>
      <c r="K573" t="str">
        <f>"9781292038797"</f>
        <v>9781292038797</v>
      </c>
      <c r="L573" t="s">
        <v>25</v>
      </c>
      <c r="M573" t="s">
        <v>15</v>
      </c>
    </row>
    <row r="574" spans="1:13" x14ac:dyDescent="0.15">
      <c r="A574">
        <v>5138087</v>
      </c>
      <c r="B574" t="s">
        <v>1716</v>
      </c>
      <c r="C574" s="1">
        <v>41488</v>
      </c>
      <c r="D574">
        <v>7</v>
      </c>
      <c r="F574" t="s">
        <v>1717</v>
      </c>
      <c r="G574" t="s">
        <v>408</v>
      </c>
      <c r="H574" t="s">
        <v>18</v>
      </c>
      <c r="I574" t="s">
        <v>1718</v>
      </c>
      <c r="J574" t="str">
        <f>"9781292020891"</f>
        <v>9781292020891</v>
      </c>
      <c r="K574" t="str">
        <f>"9781292034140"</f>
        <v>9781292034140</v>
      </c>
      <c r="L574" t="s">
        <v>25</v>
      </c>
      <c r="M574" t="s">
        <v>15</v>
      </c>
    </row>
    <row r="575" spans="1:13" x14ac:dyDescent="0.15">
      <c r="A575">
        <v>5138092</v>
      </c>
      <c r="B575" t="s">
        <v>1719</v>
      </c>
      <c r="C575" s="1">
        <v>41500</v>
      </c>
      <c r="D575">
        <v>2</v>
      </c>
      <c r="F575" t="s">
        <v>1720</v>
      </c>
      <c r="G575" t="s">
        <v>130</v>
      </c>
      <c r="H575" t="s">
        <v>18</v>
      </c>
      <c r="I575" t="s">
        <v>1721</v>
      </c>
      <c r="J575" t="str">
        <f>"9781292022550"</f>
        <v>9781292022550</v>
      </c>
      <c r="K575" t="str">
        <f>"9781292035758"</f>
        <v>9781292035758</v>
      </c>
      <c r="L575" t="s">
        <v>25</v>
      </c>
      <c r="M575" t="s">
        <v>15</v>
      </c>
    </row>
    <row r="576" spans="1:13" x14ac:dyDescent="0.15">
      <c r="A576">
        <v>5138093</v>
      </c>
      <c r="B576" t="s">
        <v>1722</v>
      </c>
      <c r="C576" s="1">
        <v>40745</v>
      </c>
      <c r="D576">
        <v>3</v>
      </c>
      <c r="F576" t="s">
        <v>1723</v>
      </c>
      <c r="H576" t="s">
        <v>18</v>
      </c>
      <c r="I576" t="s">
        <v>1724</v>
      </c>
      <c r="J576" t="str">
        <f>"9780273738404"</f>
        <v>9780273738404</v>
      </c>
      <c r="K576" t="str">
        <f>"9780273738411"</f>
        <v>9780273738411</v>
      </c>
      <c r="L576" t="s">
        <v>25</v>
      </c>
      <c r="M576" t="s">
        <v>112</v>
      </c>
    </row>
    <row r="577" spans="1:13" x14ac:dyDescent="0.15">
      <c r="A577">
        <v>5138106</v>
      </c>
      <c r="B577" t="s">
        <v>1725</v>
      </c>
      <c r="C577" s="1">
        <v>41478</v>
      </c>
      <c r="D577">
        <v>2</v>
      </c>
      <c r="F577" t="s">
        <v>1726</v>
      </c>
      <c r="G577" t="s">
        <v>1412</v>
      </c>
      <c r="H577" t="s">
        <v>18</v>
      </c>
      <c r="I577" t="s">
        <v>1727</v>
      </c>
      <c r="J577" t="str">
        <f>"9781292021706"</f>
        <v>9781292021706</v>
      </c>
      <c r="K577" t="str">
        <f>"9781292034935"</f>
        <v>9781292034935</v>
      </c>
      <c r="L577" t="s">
        <v>25</v>
      </c>
      <c r="M577" t="s">
        <v>15</v>
      </c>
    </row>
    <row r="578" spans="1:13" x14ac:dyDescent="0.15">
      <c r="A578">
        <v>5138110</v>
      </c>
      <c r="B578" t="s">
        <v>1728</v>
      </c>
      <c r="C578" s="1">
        <v>41473</v>
      </c>
      <c r="D578">
        <v>8</v>
      </c>
      <c r="F578" t="s">
        <v>1729</v>
      </c>
      <c r="G578" t="s">
        <v>1385</v>
      </c>
      <c r="H578" t="s">
        <v>18</v>
      </c>
      <c r="I578" t="s">
        <v>1730</v>
      </c>
      <c r="J578" t="str">
        <f>"9781292026015"</f>
        <v>9781292026015</v>
      </c>
      <c r="K578" t="str">
        <f>"9781292038421"</f>
        <v>9781292038421</v>
      </c>
      <c r="L578" t="s">
        <v>25</v>
      </c>
      <c r="M578" t="s">
        <v>15</v>
      </c>
    </row>
    <row r="579" spans="1:13" x14ac:dyDescent="0.15">
      <c r="A579">
        <v>5138111</v>
      </c>
      <c r="B579" t="s">
        <v>1731</v>
      </c>
      <c r="C579" s="1">
        <v>41481</v>
      </c>
      <c r="D579">
        <v>11</v>
      </c>
      <c r="F579" t="s">
        <v>1732</v>
      </c>
      <c r="G579" t="s">
        <v>304</v>
      </c>
      <c r="H579" t="s">
        <v>18</v>
      </c>
      <c r="I579" t="s">
        <v>1733</v>
      </c>
      <c r="J579" t="str">
        <f>"9781292022635"</f>
        <v>9781292022635</v>
      </c>
      <c r="K579" t="str">
        <f>"9781292035833"</f>
        <v>9781292035833</v>
      </c>
      <c r="L579" t="s">
        <v>25</v>
      </c>
      <c r="M579" t="s">
        <v>15</v>
      </c>
    </row>
    <row r="580" spans="1:13" x14ac:dyDescent="0.15">
      <c r="A580">
        <v>5138116</v>
      </c>
      <c r="B580" t="s">
        <v>1734</v>
      </c>
      <c r="C580" s="1">
        <v>41515</v>
      </c>
      <c r="D580">
        <v>7</v>
      </c>
      <c r="F580" t="s">
        <v>1735</v>
      </c>
      <c r="H580" t="s">
        <v>18</v>
      </c>
      <c r="I580" t="s">
        <v>1736</v>
      </c>
      <c r="J580" t="str">
        <f>"9781292026268"</f>
        <v>9781292026268</v>
      </c>
      <c r="K580" t="str">
        <f>"9781292038650"</f>
        <v>9781292038650</v>
      </c>
      <c r="L580" t="s">
        <v>25</v>
      </c>
      <c r="M580" t="s">
        <v>15</v>
      </c>
    </row>
    <row r="581" spans="1:13" x14ac:dyDescent="0.15">
      <c r="A581">
        <v>5138118</v>
      </c>
      <c r="B581" t="s">
        <v>1737</v>
      </c>
      <c r="C581" s="1">
        <v>41482</v>
      </c>
      <c r="D581">
        <v>8</v>
      </c>
      <c r="F581" t="s">
        <v>1738</v>
      </c>
      <c r="G581" t="s">
        <v>189</v>
      </c>
      <c r="H581" t="s">
        <v>18</v>
      </c>
      <c r="I581" t="s">
        <v>1739</v>
      </c>
      <c r="J581" t="str">
        <f>"9781292023830"</f>
        <v>9781292023830</v>
      </c>
      <c r="K581" t="str">
        <f>"9781292036960"</f>
        <v>9781292036960</v>
      </c>
      <c r="L581" t="s">
        <v>25</v>
      </c>
      <c r="M581" t="s">
        <v>15</v>
      </c>
    </row>
    <row r="582" spans="1:13" x14ac:dyDescent="0.15">
      <c r="A582">
        <v>5138119</v>
      </c>
      <c r="B582" t="s">
        <v>1740</v>
      </c>
      <c r="C582" s="1">
        <v>41479</v>
      </c>
      <c r="D582">
        <v>6</v>
      </c>
      <c r="F582" t="s">
        <v>1741</v>
      </c>
      <c r="G582" t="s">
        <v>189</v>
      </c>
      <c r="H582" t="s">
        <v>18</v>
      </c>
      <c r="I582" t="s">
        <v>1742</v>
      </c>
      <c r="J582" t="str">
        <f>"9781292024943"</f>
        <v>9781292024943</v>
      </c>
      <c r="K582" t="str">
        <f>"9781292037578"</f>
        <v>9781292037578</v>
      </c>
      <c r="L582" t="s">
        <v>25</v>
      </c>
      <c r="M582" t="s">
        <v>15</v>
      </c>
    </row>
    <row r="583" spans="1:13" x14ac:dyDescent="0.15">
      <c r="A583">
        <v>5138120</v>
      </c>
      <c r="B583" t="s">
        <v>1743</v>
      </c>
      <c r="C583" s="1">
        <v>41579</v>
      </c>
      <c r="D583">
        <v>10</v>
      </c>
      <c r="F583" t="s">
        <v>1744</v>
      </c>
      <c r="G583" t="s">
        <v>890</v>
      </c>
      <c r="H583" t="s">
        <v>18</v>
      </c>
      <c r="I583" t="s">
        <v>1745</v>
      </c>
      <c r="J583" t="str">
        <f>"9781292027500"</f>
        <v>9781292027500</v>
      </c>
      <c r="K583" t="str">
        <f>"9781292053691"</f>
        <v>9781292053691</v>
      </c>
      <c r="L583" t="s">
        <v>25</v>
      </c>
      <c r="M583" t="s">
        <v>15</v>
      </c>
    </row>
    <row r="584" spans="1:13" x14ac:dyDescent="0.15">
      <c r="A584">
        <v>5138121</v>
      </c>
      <c r="B584" t="s">
        <v>1746</v>
      </c>
      <c r="C584" s="1">
        <v>41579</v>
      </c>
      <c r="D584">
        <v>4</v>
      </c>
      <c r="F584" t="s">
        <v>1747</v>
      </c>
      <c r="G584" t="s">
        <v>27</v>
      </c>
      <c r="H584" t="s">
        <v>18</v>
      </c>
      <c r="I584" t="s">
        <v>1748</v>
      </c>
      <c r="J584" t="str">
        <f>"9781292041438"</f>
        <v>9781292041438</v>
      </c>
      <c r="K584" t="str">
        <f>"9781292053707"</f>
        <v>9781292053707</v>
      </c>
      <c r="L584" t="s">
        <v>25</v>
      </c>
      <c r="M584" t="s">
        <v>15</v>
      </c>
    </row>
    <row r="585" spans="1:13" x14ac:dyDescent="0.15">
      <c r="A585">
        <v>5138122</v>
      </c>
      <c r="B585" t="s">
        <v>1749</v>
      </c>
      <c r="C585" s="1">
        <v>41472</v>
      </c>
      <c r="D585">
        <v>7</v>
      </c>
      <c r="F585" t="s">
        <v>1750</v>
      </c>
      <c r="G585" t="s">
        <v>189</v>
      </c>
      <c r="H585" t="s">
        <v>18</v>
      </c>
      <c r="I585" t="s">
        <v>1751</v>
      </c>
      <c r="J585" t="str">
        <f>"9781292022611"</f>
        <v>9781292022611</v>
      </c>
      <c r="K585" t="str">
        <f>"9781292035819"</f>
        <v>9781292035819</v>
      </c>
      <c r="L585" t="s">
        <v>25</v>
      </c>
      <c r="M585" t="s">
        <v>15</v>
      </c>
    </row>
    <row r="586" spans="1:13" x14ac:dyDescent="0.15">
      <c r="A586">
        <v>5138123</v>
      </c>
      <c r="B586" t="s">
        <v>1752</v>
      </c>
      <c r="C586" s="1">
        <v>41472</v>
      </c>
      <c r="D586">
        <v>4</v>
      </c>
      <c r="F586" t="s">
        <v>1753</v>
      </c>
      <c r="G586" t="s">
        <v>946</v>
      </c>
      <c r="H586" t="s">
        <v>18</v>
      </c>
      <c r="I586" t="s">
        <v>1754</v>
      </c>
      <c r="J586" t="str">
        <f>"9781292023731"</f>
        <v>9781292023731</v>
      </c>
      <c r="K586" t="str">
        <f>"9781292036861"</f>
        <v>9781292036861</v>
      </c>
      <c r="L586" t="s">
        <v>25</v>
      </c>
      <c r="M586" t="s">
        <v>15</v>
      </c>
    </row>
    <row r="587" spans="1:13" x14ac:dyDescent="0.15">
      <c r="A587">
        <v>5138135</v>
      </c>
      <c r="B587" t="s">
        <v>1755</v>
      </c>
      <c r="C587" s="1">
        <v>40745</v>
      </c>
      <c r="D587">
        <v>1</v>
      </c>
      <c r="F587" t="s">
        <v>1756</v>
      </c>
      <c r="H587" t="s">
        <v>18</v>
      </c>
      <c r="I587" t="s">
        <v>1757</v>
      </c>
      <c r="J587" t="str">
        <f>""</f>
        <v/>
      </c>
      <c r="K587" t="str">
        <f>"9780273751083"</f>
        <v>9780273751083</v>
      </c>
      <c r="L587" t="s">
        <v>25</v>
      </c>
      <c r="M587" t="s">
        <v>51</v>
      </c>
    </row>
    <row r="588" spans="1:13" x14ac:dyDescent="0.15">
      <c r="A588">
        <v>5138136</v>
      </c>
      <c r="B588" t="s">
        <v>1758</v>
      </c>
      <c r="C588" s="1">
        <v>41455</v>
      </c>
      <c r="D588">
        <v>2</v>
      </c>
      <c r="F588" t="s">
        <v>1759</v>
      </c>
      <c r="G588" t="s">
        <v>130</v>
      </c>
      <c r="H588" t="s">
        <v>18</v>
      </c>
      <c r="I588" t="s">
        <v>1760</v>
      </c>
      <c r="J588" t="str">
        <f>"9781292022482"</f>
        <v>9781292022482</v>
      </c>
      <c r="K588" t="str">
        <f>"9781292035680"</f>
        <v>9781292035680</v>
      </c>
      <c r="L588" t="s">
        <v>25</v>
      </c>
      <c r="M588" t="s">
        <v>15</v>
      </c>
    </row>
    <row r="589" spans="1:13" x14ac:dyDescent="0.15">
      <c r="A589">
        <v>5138139</v>
      </c>
      <c r="B589" t="s">
        <v>1761</v>
      </c>
      <c r="C589" s="1">
        <v>41473</v>
      </c>
      <c r="D589">
        <v>11</v>
      </c>
      <c r="F589" t="s">
        <v>1762</v>
      </c>
      <c r="G589" t="s">
        <v>1763</v>
      </c>
      <c r="H589" t="s">
        <v>18</v>
      </c>
      <c r="I589" t="s">
        <v>1764</v>
      </c>
      <c r="J589" t="str">
        <f>"9781292021355"</f>
        <v>9781292021355</v>
      </c>
      <c r="K589" t="str">
        <f>"9781292034584"</f>
        <v>9781292034584</v>
      </c>
      <c r="L589" t="s">
        <v>25</v>
      </c>
      <c r="M589" t="s">
        <v>15</v>
      </c>
    </row>
    <row r="590" spans="1:13" x14ac:dyDescent="0.15">
      <c r="A590">
        <v>5138143</v>
      </c>
      <c r="B590" t="s">
        <v>1765</v>
      </c>
      <c r="C590" s="1">
        <v>41488</v>
      </c>
      <c r="D590">
        <v>3</v>
      </c>
      <c r="F590" t="s">
        <v>1766</v>
      </c>
      <c r="G590" t="s">
        <v>27</v>
      </c>
      <c r="H590" t="s">
        <v>18</v>
      </c>
      <c r="I590" t="s">
        <v>1767</v>
      </c>
      <c r="J590" t="str">
        <f>"9781292021980"</f>
        <v>9781292021980</v>
      </c>
      <c r="K590" t="str">
        <f>"9781292035192"</f>
        <v>9781292035192</v>
      </c>
      <c r="L590" t="s">
        <v>25</v>
      </c>
      <c r="M590" t="s">
        <v>15</v>
      </c>
    </row>
    <row r="591" spans="1:13" x14ac:dyDescent="0.15">
      <c r="A591">
        <v>5138148</v>
      </c>
      <c r="B591" t="s">
        <v>1768</v>
      </c>
      <c r="C591" s="1">
        <v>41472</v>
      </c>
      <c r="D591">
        <v>2</v>
      </c>
      <c r="F591" t="s">
        <v>1769</v>
      </c>
      <c r="G591" t="s">
        <v>36</v>
      </c>
      <c r="H591" t="s">
        <v>18</v>
      </c>
      <c r="I591" t="s">
        <v>1770</v>
      </c>
      <c r="J591" t="str">
        <f>"9781292023373"</f>
        <v>9781292023373</v>
      </c>
      <c r="K591" t="str">
        <f>"9781292036540"</f>
        <v>9781292036540</v>
      </c>
      <c r="L591" t="s">
        <v>25</v>
      </c>
      <c r="M591" t="s">
        <v>15</v>
      </c>
    </row>
    <row r="592" spans="1:13" x14ac:dyDescent="0.15">
      <c r="A592">
        <v>5138152</v>
      </c>
      <c r="B592" t="s">
        <v>1771</v>
      </c>
      <c r="C592" s="1">
        <v>41579</v>
      </c>
      <c r="D592">
        <v>3</v>
      </c>
      <c r="F592" t="s">
        <v>1772</v>
      </c>
      <c r="G592" t="s">
        <v>17</v>
      </c>
      <c r="H592" t="s">
        <v>18</v>
      </c>
      <c r="I592" t="s">
        <v>1773</v>
      </c>
      <c r="J592" t="str">
        <f>"9781292039107"</f>
        <v>9781292039107</v>
      </c>
      <c r="K592" t="str">
        <f>"9781292056333"</f>
        <v>9781292056333</v>
      </c>
      <c r="L592" t="s">
        <v>25</v>
      </c>
      <c r="M592" t="s">
        <v>15</v>
      </c>
    </row>
    <row r="593" spans="1:13" x14ac:dyDescent="0.15">
      <c r="A593">
        <v>5138153</v>
      </c>
      <c r="B593" t="s">
        <v>1774</v>
      </c>
      <c r="C593" s="1">
        <v>41512</v>
      </c>
      <c r="D593">
        <v>1</v>
      </c>
      <c r="F593" t="s">
        <v>1775</v>
      </c>
      <c r="G593" t="s">
        <v>189</v>
      </c>
      <c r="H593" t="s">
        <v>18</v>
      </c>
      <c r="I593" t="s">
        <v>1776</v>
      </c>
      <c r="J593" t="str">
        <f>"9781292027654"</f>
        <v>9781292027654</v>
      </c>
      <c r="K593" t="str">
        <f>"9781292053806"</f>
        <v>9781292053806</v>
      </c>
      <c r="L593" t="s">
        <v>25</v>
      </c>
      <c r="M593" t="s">
        <v>15</v>
      </c>
    </row>
    <row r="594" spans="1:13" x14ac:dyDescent="0.15">
      <c r="A594">
        <v>5138154</v>
      </c>
      <c r="B594" t="s">
        <v>1777</v>
      </c>
      <c r="C594" s="1">
        <v>41584</v>
      </c>
      <c r="D594">
        <v>4</v>
      </c>
      <c r="F594" t="s">
        <v>1778</v>
      </c>
      <c r="H594" t="s">
        <v>18</v>
      </c>
      <c r="I594" t="s">
        <v>1779</v>
      </c>
      <c r="J594" t="str">
        <f>""</f>
        <v/>
      </c>
      <c r="K594" t="str">
        <f>"9780273780045"</f>
        <v>9780273780045</v>
      </c>
      <c r="L594" t="s">
        <v>25</v>
      </c>
      <c r="M594" t="s">
        <v>15</v>
      </c>
    </row>
    <row r="595" spans="1:13" x14ac:dyDescent="0.15">
      <c r="A595">
        <v>5138155</v>
      </c>
      <c r="B595" t="s">
        <v>1780</v>
      </c>
      <c r="C595" s="1">
        <v>41579</v>
      </c>
      <c r="D595">
        <v>6</v>
      </c>
      <c r="F595" t="s">
        <v>1781</v>
      </c>
      <c r="G595" t="s">
        <v>27</v>
      </c>
      <c r="H595" t="s">
        <v>18</v>
      </c>
      <c r="I595" t="s">
        <v>1782</v>
      </c>
      <c r="J595" t="str">
        <f>"9781292041612"</f>
        <v>9781292041612</v>
      </c>
      <c r="K595" t="str">
        <f>"9781292053820"</f>
        <v>9781292053820</v>
      </c>
      <c r="L595" t="s">
        <v>25</v>
      </c>
      <c r="M595" t="s">
        <v>15</v>
      </c>
    </row>
    <row r="596" spans="1:13" x14ac:dyDescent="0.15">
      <c r="A596">
        <v>5138159</v>
      </c>
      <c r="B596" t="s">
        <v>962</v>
      </c>
      <c r="C596" s="1">
        <v>41579</v>
      </c>
      <c r="D596">
        <v>5</v>
      </c>
      <c r="F596" t="s">
        <v>1783</v>
      </c>
      <c r="G596" t="s">
        <v>304</v>
      </c>
      <c r="H596" t="s">
        <v>18</v>
      </c>
      <c r="I596" t="s">
        <v>1784</v>
      </c>
      <c r="J596" t="str">
        <f>"9781292027807"</f>
        <v>9781292027807</v>
      </c>
      <c r="K596" t="str">
        <f>"9781292053844"</f>
        <v>9781292053844</v>
      </c>
      <c r="L596" t="s">
        <v>25</v>
      </c>
      <c r="M596" t="s">
        <v>15</v>
      </c>
    </row>
    <row r="597" spans="1:13" x14ac:dyDescent="0.15">
      <c r="A597">
        <v>5138162</v>
      </c>
      <c r="B597" t="s">
        <v>1785</v>
      </c>
      <c r="C597" s="1">
        <v>41484</v>
      </c>
      <c r="D597">
        <v>6</v>
      </c>
      <c r="F597" t="s">
        <v>1786</v>
      </c>
      <c r="G597" t="s">
        <v>813</v>
      </c>
      <c r="H597" t="s">
        <v>18</v>
      </c>
      <c r="I597" t="s">
        <v>1787</v>
      </c>
      <c r="J597" t="str">
        <f>"9781292020457"</f>
        <v>9781292020457</v>
      </c>
      <c r="K597" t="str">
        <f>"9781292033761"</f>
        <v>9781292033761</v>
      </c>
      <c r="L597" t="s">
        <v>25</v>
      </c>
      <c r="M597" t="s">
        <v>15</v>
      </c>
    </row>
    <row r="598" spans="1:13" x14ac:dyDescent="0.15">
      <c r="A598">
        <v>5138167</v>
      </c>
      <c r="B598" t="s">
        <v>1788</v>
      </c>
      <c r="C598" s="1">
        <v>41579</v>
      </c>
      <c r="D598">
        <v>3</v>
      </c>
      <c r="F598" t="s">
        <v>1789</v>
      </c>
      <c r="H598" t="s">
        <v>18</v>
      </c>
      <c r="I598" t="s">
        <v>1790</v>
      </c>
      <c r="J598" t="str">
        <f>"9781292039213"</f>
        <v>9781292039213</v>
      </c>
      <c r="K598" t="str">
        <f>"9781292053851"</f>
        <v>9781292053851</v>
      </c>
      <c r="L598" t="s">
        <v>25</v>
      </c>
      <c r="M598" t="s">
        <v>15</v>
      </c>
    </row>
    <row r="599" spans="1:13" x14ac:dyDescent="0.15">
      <c r="A599">
        <v>5138176</v>
      </c>
      <c r="B599" t="s">
        <v>1791</v>
      </c>
      <c r="C599" s="1">
        <v>40560</v>
      </c>
      <c r="D599">
        <v>1</v>
      </c>
      <c r="F599" t="s">
        <v>1792</v>
      </c>
      <c r="G599" t="s">
        <v>688</v>
      </c>
      <c r="H599" t="s">
        <v>18</v>
      </c>
      <c r="I599" t="s">
        <v>1793</v>
      </c>
      <c r="J599" t="str">
        <f>"9780273743774"</f>
        <v>9780273743774</v>
      </c>
      <c r="K599" t="str">
        <f>"9780273743781"</f>
        <v>9780273743781</v>
      </c>
      <c r="L599" t="s">
        <v>25</v>
      </c>
      <c r="M599" t="s">
        <v>112</v>
      </c>
    </row>
    <row r="600" spans="1:13" x14ac:dyDescent="0.15">
      <c r="A600">
        <v>5138178</v>
      </c>
      <c r="B600" t="s">
        <v>1794</v>
      </c>
      <c r="C600" s="1">
        <v>40318</v>
      </c>
      <c r="D600">
        <v>1</v>
      </c>
      <c r="F600" t="s">
        <v>1792</v>
      </c>
      <c r="G600" t="s">
        <v>27</v>
      </c>
      <c r="H600" t="s">
        <v>18</v>
      </c>
      <c r="I600" t="s">
        <v>1795</v>
      </c>
      <c r="J600" t="str">
        <f>"9780273734376"</f>
        <v>9780273734376</v>
      </c>
      <c r="K600" t="str">
        <f>"9780273734413"</f>
        <v>9780273734413</v>
      </c>
      <c r="L600" t="s">
        <v>25</v>
      </c>
      <c r="M600" t="s">
        <v>112</v>
      </c>
    </row>
    <row r="601" spans="1:13" x14ac:dyDescent="0.15">
      <c r="A601">
        <v>5138180</v>
      </c>
      <c r="B601" t="s">
        <v>1796</v>
      </c>
      <c r="C601" s="1">
        <v>41455</v>
      </c>
      <c r="D601">
        <v>1</v>
      </c>
      <c r="F601" t="s">
        <v>1797</v>
      </c>
      <c r="G601" t="s">
        <v>478</v>
      </c>
      <c r="H601" t="s">
        <v>18</v>
      </c>
      <c r="I601" t="s">
        <v>1798</v>
      </c>
      <c r="J601" t="str">
        <f>"9781292023946"</f>
        <v>9781292023946</v>
      </c>
      <c r="K601" t="str">
        <f>"9781292037042"</f>
        <v>9781292037042</v>
      </c>
      <c r="L601" t="s">
        <v>25</v>
      </c>
      <c r="M601" t="s">
        <v>15</v>
      </c>
    </row>
    <row r="602" spans="1:13" x14ac:dyDescent="0.15">
      <c r="A602">
        <v>5138182</v>
      </c>
      <c r="B602" t="s">
        <v>1799</v>
      </c>
      <c r="C602" s="1">
        <v>41537</v>
      </c>
      <c r="D602">
        <v>9</v>
      </c>
      <c r="F602" t="s">
        <v>1800</v>
      </c>
      <c r="G602" t="s">
        <v>221</v>
      </c>
      <c r="H602" t="s">
        <v>18</v>
      </c>
      <c r="I602" t="s">
        <v>1801</v>
      </c>
      <c r="J602" t="str">
        <f>"9781292025612"</f>
        <v>9781292025612</v>
      </c>
      <c r="K602" t="str">
        <f>"9781292038049"</f>
        <v>9781292038049</v>
      </c>
      <c r="L602" t="s">
        <v>25</v>
      </c>
      <c r="M602" t="s">
        <v>15</v>
      </c>
    </row>
    <row r="603" spans="1:13" x14ac:dyDescent="0.15">
      <c r="A603">
        <v>5138186</v>
      </c>
      <c r="B603" t="s">
        <v>1802</v>
      </c>
      <c r="C603" s="1">
        <v>41484</v>
      </c>
      <c r="D603">
        <v>3</v>
      </c>
      <c r="F603" t="s">
        <v>1803</v>
      </c>
      <c r="G603" t="s">
        <v>1379</v>
      </c>
      <c r="H603" t="s">
        <v>18</v>
      </c>
      <c r="I603" t="s">
        <v>1804</v>
      </c>
      <c r="J603" t="str">
        <f>"9781292020785"</f>
        <v>9781292020785</v>
      </c>
      <c r="K603" t="str">
        <f>"9781292034034"</f>
        <v>9781292034034</v>
      </c>
      <c r="L603" t="s">
        <v>25</v>
      </c>
      <c r="M603" t="s">
        <v>15</v>
      </c>
    </row>
    <row r="604" spans="1:13" x14ac:dyDescent="0.15">
      <c r="A604">
        <v>5138187</v>
      </c>
      <c r="B604" t="s">
        <v>1805</v>
      </c>
      <c r="C604" s="1">
        <v>41579</v>
      </c>
      <c r="D604">
        <v>3</v>
      </c>
      <c r="F604" t="s">
        <v>1803</v>
      </c>
      <c r="G604" t="s">
        <v>1530</v>
      </c>
      <c r="H604" t="s">
        <v>18</v>
      </c>
      <c r="I604" t="s">
        <v>1806</v>
      </c>
      <c r="J604" t="str">
        <f>"9781292040493"</f>
        <v>9781292040493</v>
      </c>
      <c r="K604" t="str">
        <f>"9781292053936"</f>
        <v>9781292053936</v>
      </c>
      <c r="L604" t="s">
        <v>25</v>
      </c>
      <c r="M604" t="s">
        <v>15</v>
      </c>
    </row>
    <row r="605" spans="1:13" x14ac:dyDescent="0.15">
      <c r="A605">
        <v>5138189</v>
      </c>
      <c r="B605" t="s">
        <v>1807</v>
      </c>
      <c r="C605" s="1">
        <v>41579</v>
      </c>
      <c r="D605">
        <v>2</v>
      </c>
      <c r="F605" t="s">
        <v>1808</v>
      </c>
      <c r="G605" t="s">
        <v>1379</v>
      </c>
      <c r="H605" t="s">
        <v>18</v>
      </c>
      <c r="I605" t="s">
        <v>1809</v>
      </c>
      <c r="J605" t="str">
        <f>"9781292039657"</f>
        <v>9781292039657</v>
      </c>
      <c r="K605" t="str">
        <f>"9781292053950"</f>
        <v>9781292053950</v>
      </c>
      <c r="L605" t="s">
        <v>25</v>
      </c>
      <c r="M605" t="s">
        <v>15</v>
      </c>
    </row>
    <row r="606" spans="1:13" x14ac:dyDescent="0.15">
      <c r="A606">
        <v>5138190</v>
      </c>
      <c r="B606" t="s">
        <v>1807</v>
      </c>
      <c r="C606" s="1">
        <v>41579</v>
      </c>
      <c r="D606">
        <v>2</v>
      </c>
      <c r="F606" t="s">
        <v>1808</v>
      </c>
      <c r="G606" t="s">
        <v>1379</v>
      </c>
      <c r="H606" t="s">
        <v>18</v>
      </c>
      <c r="I606" t="s">
        <v>1810</v>
      </c>
      <c r="J606" t="str">
        <f>"9781292039626"</f>
        <v>9781292039626</v>
      </c>
      <c r="K606" t="str">
        <f>"9781292053943"</f>
        <v>9781292053943</v>
      </c>
      <c r="L606" t="s">
        <v>25</v>
      </c>
      <c r="M606" t="s">
        <v>15</v>
      </c>
    </row>
    <row r="607" spans="1:13" x14ac:dyDescent="0.15">
      <c r="A607">
        <v>5138197</v>
      </c>
      <c r="B607" t="s">
        <v>1811</v>
      </c>
      <c r="C607" s="1">
        <v>41478</v>
      </c>
      <c r="D607">
        <v>6</v>
      </c>
      <c r="F607" t="s">
        <v>1812</v>
      </c>
      <c r="G607" t="s">
        <v>189</v>
      </c>
      <c r="H607" t="s">
        <v>18</v>
      </c>
      <c r="I607" t="s">
        <v>1813</v>
      </c>
      <c r="J607" t="str">
        <f>"9781292024844"</f>
        <v>9781292024844</v>
      </c>
      <c r="K607" t="str">
        <f>"9781292037509"</f>
        <v>9781292037509</v>
      </c>
      <c r="L607" t="s">
        <v>25</v>
      </c>
      <c r="M607" t="s">
        <v>15</v>
      </c>
    </row>
    <row r="608" spans="1:13" x14ac:dyDescent="0.15">
      <c r="A608">
        <v>5138198</v>
      </c>
      <c r="B608" t="s">
        <v>1814</v>
      </c>
      <c r="C608" s="1">
        <v>41478</v>
      </c>
      <c r="D608">
        <v>9</v>
      </c>
      <c r="F608" t="s">
        <v>1815</v>
      </c>
      <c r="G608" t="s">
        <v>189</v>
      </c>
      <c r="H608" t="s">
        <v>18</v>
      </c>
      <c r="I608" t="s">
        <v>1816</v>
      </c>
      <c r="J608" t="str">
        <f>"9781292023656"</f>
        <v>9781292023656</v>
      </c>
      <c r="K608" t="str">
        <f>"9781292036809"</f>
        <v>9781292036809</v>
      </c>
      <c r="L608" t="s">
        <v>25</v>
      </c>
      <c r="M608" t="s">
        <v>15</v>
      </c>
    </row>
    <row r="609" spans="1:13" x14ac:dyDescent="0.15">
      <c r="A609">
        <v>5138199</v>
      </c>
      <c r="B609" t="s">
        <v>1817</v>
      </c>
      <c r="C609" s="1">
        <v>41579</v>
      </c>
      <c r="D609">
        <v>1</v>
      </c>
      <c r="F609" t="s">
        <v>1818</v>
      </c>
      <c r="G609" t="s">
        <v>65</v>
      </c>
      <c r="H609" t="s">
        <v>18</v>
      </c>
      <c r="I609" t="s">
        <v>1819</v>
      </c>
      <c r="J609" t="str">
        <f>"9781292042527"</f>
        <v>9781292042527</v>
      </c>
      <c r="K609" t="str">
        <f>"9781292056227"</f>
        <v>9781292056227</v>
      </c>
      <c r="L609" t="s">
        <v>25</v>
      </c>
      <c r="M609" t="s">
        <v>15</v>
      </c>
    </row>
    <row r="610" spans="1:13" x14ac:dyDescent="0.15">
      <c r="A610">
        <v>5138200</v>
      </c>
      <c r="B610" t="s">
        <v>1820</v>
      </c>
      <c r="C610" s="1">
        <v>41579</v>
      </c>
      <c r="D610">
        <v>5</v>
      </c>
      <c r="F610" t="s">
        <v>1821</v>
      </c>
      <c r="G610" t="s">
        <v>27</v>
      </c>
      <c r="H610" t="s">
        <v>18</v>
      </c>
      <c r="I610" t="s">
        <v>1822</v>
      </c>
      <c r="J610" t="str">
        <f>"9781292041650"</f>
        <v>9781292041650</v>
      </c>
      <c r="K610" t="str">
        <f>"9781292053981"</f>
        <v>9781292053981</v>
      </c>
      <c r="L610" t="s">
        <v>25</v>
      </c>
      <c r="M610" t="s">
        <v>15</v>
      </c>
    </row>
    <row r="611" spans="1:13" x14ac:dyDescent="0.15">
      <c r="A611">
        <v>5138206</v>
      </c>
      <c r="B611" t="s">
        <v>1823</v>
      </c>
      <c r="C611" s="1">
        <v>41513</v>
      </c>
      <c r="D611">
        <v>6</v>
      </c>
      <c r="F611" t="s">
        <v>1824</v>
      </c>
      <c r="H611" t="s">
        <v>18</v>
      </c>
      <c r="I611" t="s">
        <v>1825</v>
      </c>
      <c r="J611" t="str">
        <f>"9781292020037"</f>
        <v>9781292020037</v>
      </c>
      <c r="K611" t="str">
        <f>"9781292033556"</f>
        <v>9781292033556</v>
      </c>
      <c r="L611" t="s">
        <v>25</v>
      </c>
      <c r="M611" t="s">
        <v>15</v>
      </c>
    </row>
    <row r="612" spans="1:13" x14ac:dyDescent="0.15">
      <c r="A612">
        <v>5138211</v>
      </c>
      <c r="B612" t="s">
        <v>1826</v>
      </c>
      <c r="C612" s="1">
        <v>41478</v>
      </c>
      <c r="D612">
        <v>6</v>
      </c>
      <c r="F612" t="s">
        <v>1827</v>
      </c>
      <c r="G612" t="s">
        <v>890</v>
      </c>
      <c r="H612" t="s">
        <v>18</v>
      </c>
      <c r="I612" t="s">
        <v>1828</v>
      </c>
      <c r="J612" t="str">
        <f>"9781292026275"</f>
        <v>9781292026275</v>
      </c>
      <c r="K612" t="str">
        <f>"9781292038667"</f>
        <v>9781292038667</v>
      </c>
      <c r="L612" t="s">
        <v>25</v>
      </c>
      <c r="M612" t="s">
        <v>15</v>
      </c>
    </row>
    <row r="613" spans="1:13" x14ac:dyDescent="0.15">
      <c r="A613">
        <v>5138212</v>
      </c>
      <c r="B613" t="s">
        <v>1829</v>
      </c>
      <c r="C613" s="1">
        <v>41579</v>
      </c>
      <c r="D613">
        <v>1</v>
      </c>
      <c r="F613" t="s">
        <v>1830</v>
      </c>
      <c r="G613" t="s">
        <v>304</v>
      </c>
      <c r="H613" t="s">
        <v>18</v>
      </c>
      <c r="I613" t="s">
        <v>1831</v>
      </c>
      <c r="J613" t="str">
        <f>"9781292041230"</f>
        <v>9781292041230</v>
      </c>
      <c r="K613" t="str">
        <f>"9781292054001"</f>
        <v>9781292054001</v>
      </c>
      <c r="L613" t="s">
        <v>25</v>
      </c>
      <c r="M613" t="s">
        <v>15</v>
      </c>
    </row>
    <row r="614" spans="1:13" x14ac:dyDescent="0.15">
      <c r="A614">
        <v>5138229</v>
      </c>
      <c r="B614" t="s">
        <v>1832</v>
      </c>
      <c r="C614" s="1">
        <v>41353</v>
      </c>
      <c r="D614">
        <v>6</v>
      </c>
      <c r="F614" t="s">
        <v>1833</v>
      </c>
      <c r="H614" t="s">
        <v>18</v>
      </c>
      <c r="I614" t="s">
        <v>1834</v>
      </c>
      <c r="J614" t="str">
        <f>""</f>
        <v/>
      </c>
      <c r="K614" t="str">
        <f>"9780273775638"</f>
        <v>9780273775638</v>
      </c>
      <c r="L614" t="s">
        <v>25</v>
      </c>
      <c r="M614" t="s">
        <v>298</v>
      </c>
    </row>
    <row r="615" spans="1:13" x14ac:dyDescent="0.15">
      <c r="A615">
        <v>5138233</v>
      </c>
      <c r="B615" t="s">
        <v>1835</v>
      </c>
      <c r="C615" s="1">
        <v>40634</v>
      </c>
      <c r="D615">
        <v>1</v>
      </c>
      <c r="F615" t="s">
        <v>1836</v>
      </c>
      <c r="G615" t="s">
        <v>189</v>
      </c>
      <c r="H615" t="s">
        <v>18</v>
      </c>
      <c r="I615" t="s">
        <v>1837</v>
      </c>
      <c r="J615" t="str">
        <f>"9780273743873"</f>
        <v>9780273743873</v>
      </c>
      <c r="K615" t="str">
        <f>"9780273756224"</f>
        <v>9780273756224</v>
      </c>
      <c r="L615" t="s">
        <v>25</v>
      </c>
      <c r="M615" t="s">
        <v>112</v>
      </c>
    </row>
    <row r="616" spans="1:13" x14ac:dyDescent="0.15">
      <c r="A616">
        <v>5138235</v>
      </c>
      <c r="B616" t="s">
        <v>1838</v>
      </c>
      <c r="C616" s="1">
        <v>41472</v>
      </c>
      <c r="D616">
        <v>3</v>
      </c>
      <c r="F616" t="s">
        <v>1839</v>
      </c>
      <c r="G616" t="s">
        <v>1088</v>
      </c>
      <c r="H616" t="s">
        <v>18</v>
      </c>
      <c r="I616" t="s">
        <v>1840</v>
      </c>
      <c r="J616" t="str">
        <f>"9781292025810"</f>
        <v>9781292025810</v>
      </c>
      <c r="K616" t="str">
        <f>"9781292038230"</f>
        <v>9781292038230</v>
      </c>
      <c r="L616" t="s">
        <v>25</v>
      </c>
      <c r="M616" t="s">
        <v>15</v>
      </c>
    </row>
    <row r="617" spans="1:13" x14ac:dyDescent="0.15">
      <c r="A617">
        <v>5138236</v>
      </c>
      <c r="B617" t="s">
        <v>1841</v>
      </c>
      <c r="C617" s="1">
        <v>41579</v>
      </c>
      <c r="D617">
        <v>2</v>
      </c>
      <c r="F617" t="s">
        <v>1842</v>
      </c>
      <c r="G617" t="s">
        <v>344</v>
      </c>
      <c r="H617" t="s">
        <v>18</v>
      </c>
      <c r="I617" t="s">
        <v>1843</v>
      </c>
      <c r="J617" t="str">
        <f>"9781292039565"</f>
        <v>9781292039565</v>
      </c>
      <c r="K617" t="str">
        <f>"9781292054056"</f>
        <v>9781292054056</v>
      </c>
      <c r="L617" t="s">
        <v>25</v>
      </c>
      <c r="M617" t="s">
        <v>15</v>
      </c>
    </row>
    <row r="618" spans="1:13" x14ac:dyDescent="0.15">
      <c r="A618">
        <v>5138239</v>
      </c>
      <c r="B618" t="s">
        <v>1844</v>
      </c>
      <c r="C618" s="1">
        <v>41452</v>
      </c>
      <c r="D618">
        <v>3</v>
      </c>
      <c r="F618" t="s">
        <v>1845</v>
      </c>
      <c r="G618" t="s">
        <v>65</v>
      </c>
      <c r="H618" t="s">
        <v>18</v>
      </c>
      <c r="I618" t="s">
        <v>1846</v>
      </c>
      <c r="J618" t="str">
        <f>"9780273756873"</f>
        <v>9780273756873</v>
      </c>
      <c r="K618" t="str">
        <f>"9780273756880"</f>
        <v>9780273756880</v>
      </c>
      <c r="L618" t="s">
        <v>25</v>
      </c>
      <c r="M618" t="s">
        <v>15</v>
      </c>
    </row>
    <row r="619" spans="1:13" x14ac:dyDescent="0.15">
      <c r="A619">
        <v>5138244</v>
      </c>
      <c r="B619" t="s">
        <v>1847</v>
      </c>
      <c r="C619" s="1">
        <v>41484</v>
      </c>
      <c r="D619">
        <v>5</v>
      </c>
      <c r="F619" t="s">
        <v>1848</v>
      </c>
      <c r="G619" t="s">
        <v>189</v>
      </c>
      <c r="H619" t="s">
        <v>18</v>
      </c>
      <c r="I619" t="s">
        <v>1849</v>
      </c>
      <c r="J619" t="str">
        <f>"9781292023557"</f>
        <v>9781292023557</v>
      </c>
      <c r="K619" t="str">
        <f>"9781292036724"</f>
        <v>9781292036724</v>
      </c>
      <c r="L619" t="s">
        <v>25</v>
      </c>
      <c r="M619" t="s">
        <v>15</v>
      </c>
    </row>
    <row r="620" spans="1:13" x14ac:dyDescent="0.15">
      <c r="A620">
        <v>5138251</v>
      </c>
      <c r="B620" t="s">
        <v>1850</v>
      </c>
      <c r="C620" s="1">
        <v>41584</v>
      </c>
      <c r="D620">
        <v>13</v>
      </c>
      <c r="F620" t="s">
        <v>1851</v>
      </c>
      <c r="H620" t="s">
        <v>18</v>
      </c>
      <c r="I620" t="s">
        <v>1852</v>
      </c>
      <c r="J620" t="str">
        <f>""</f>
        <v/>
      </c>
      <c r="K620" t="str">
        <f>"9780273790327"</f>
        <v>9780273790327</v>
      </c>
      <c r="L620" t="s">
        <v>25</v>
      </c>
      <c r="M620" t="s">
        <v>15</v>
      </c>
    </row>
    <row r="621" spans="1:13" x14ac:dyDescent="0.15">
      <c r="A621">
        <v>5138255</v>
      </c>
      <c r="B621" t="s">
        <v>1853</v>
      </c>
      <c r="C621" s="1">
        <v>41579</v>
      </c>
      <c r="D621">
        <v>5</v>
      </c>
      <c r="F621" t="s">
        <v>1854</v>
      </c>
      <c r="G621" t="s">
        <v>189</v>
      </c>
      <c r="H621" t="s">
        <v>18</v>
      </c>
      <c r="I621" t="s">
        <v>1855</v>
      </c>
      <c r="J621" t="str">
        <f>"9781292040240"</f>
        <v>9781292040240</v>
      </c>
      <c r="K621" t="str">
        <f>"9781292054094"</f>
        <v>9781292054094</v>
      </c>
      <c r="L621" t="s">
        <v>25</v>
      </c>
      <c r="M621" t="s">
        <v>15</v>
      </c>
    </row>
    <row r="622" spans="1:13" x14ac:dyDescent="0.15">
      <c r="A622">
        <v>5138257</v>
      </c>
      <c r="B622" t="s">
        <v>1856</v>
      </c>
      <c r="C622" s="1">
        <v>40205</v>
      </c>
      <c r="D622">
        <v>1</v>
      </c>
      <c r="F622" t="s">
        <v>1857</v>
      </c>
      <c r="G622" t="s">
        <v>65</v>
      </c>
      <c r="H622" t="s">
        <v>18</v>
      </c>
      <c r="I622" t="s">
        <v>1858</v>
      </c>
      <c r="J622" t="str">
        <f>"9780273720898"</f>
        <v>9780273720898</v>
      </c>
      <c r="K622" t="str">
        <f>"9780273720904"</f>
        <v>9780273720904</v>
      </c>
      <c r="L622" t="s">
        <v>25</v>
      </c>
      <c r="M622" t="s">
        <v>98</v>
      </c>
    </row>
    <row r="623" spans="1:13" x14ac:dyDescent="0.15">
      <c r="A623">
        <v>5138261</v>
      </c>
      <c r="B623" t="s">
        <v>1859</v>
      </c>
      <c r="C623" s="1">
        <v>41426</v>
      </c>
      <c r="D623">
        <v>1</v>
      </c>
      <c r="F623" t="s">
        <v>55</v>
      </c>
      <c r="G623" t="s">
        <v>36</v>
      </c>
      <c r="H623" t="s">
        <v>18</v>
      </c>
      <c r="I623" t="s">
        <v>1860</v>
      </c>
      <c r="J623" t="str">
        <f>""</f>
        <v/>
      </c>
      <c r="K623" t="str">
        <f>"9780273772477"</f>
        <v>9780273772477</v>
      </c>
      <c r="L623" t="s">
        <v>25</v>
      </c>
      <c r="M623" t="s">
        <v>15</v>
      </c>
    </row>
    <row r="624" spans="1:13" x14ac:dyDescent="0.15">
      <c r="A624">
        <v>5138267</v>
      </c>
      <c r="B624" t="s">
        <v>1861</v>
      </c>
      <c r="C624" s="1">
        <v>41579</v>
      </c>
      <c r="D624">
        <v>3</v>
      </c>
      <c r="F624" t="s">
        <v>1862</v>
      </c>
      <c r="G624" t="s">
        <v>189</v>
      </c>
      <c r="H624" t="s">
        <v>18</v>
      </c>
      <c r="I624" t="s">
        <v>1863</v>
      </c>
      <c r="J624" t="str">
        <f>"9781292027180"</f>
        <v>9781292027180</v>
      </c>
      <c r="K624" t="str">
        <f>"9781292054131"</f>
        <v>9781292054131</v>
      </c>
      <c r="L624" t="s">
        <v>25</v>
      </c>
      <c r="M624" t="s">
        <v>15</v>
      </c>
    </row>
    <row r="625" spans="1:13" x14ac:dyDescent="0.15">
      <c r="A625">
        <v>5138277</v>
      </c>
      <c r="B625" t="s">
        <v>1864</v>
      </c>
      <c r="C625" s="1">
        <v>41513</v>
      </c>
      <c r="D625">
        <v>10</v>
      </c>
      <c r="F625" t="s">
        <v>1865</v>
      </c>
      <c r="H625" t="s">
        <v>18</v>
      </c>
      <c r="I625" t="s">
        <v>1866</v>
      </c>
      <c r="J625" t="str">
        <f>"9781292022109"</f>
        <v>9781292022109</v>
      </c>
      <c r="K625" t="str">
        <f>"9781292035314"</f>
        <v>9781292035314</v>
      </c>
      <c r="L625" t="s">
        <v>25</v>
      </c>
      <c r="M625" t="s">
        <v>15</v>
      </c>
    </row>
    <row r="626" spans="1:13" x14ac:dyDescent="0.15">
      <c r="A626">
        <v>5138278</v>
      </c>
      <c r="B626" t="s">
        <v>1867</v>
      </c>
      <c r="C626" s="1">
        <v>41579</v>
      </c>
      <c r="D626">
        <v>9</v>
      </c>
      <c r="F626" t="s">
        <v>1868</v>
      </c>
      <c r="G626" t="s">
        <v>189</v>
      </c>
      <c r="H626" t="s">
        <v>18</v>
      </c>
      <c r="I626" t="s">
        <v>1869</v>
      </c>
      <c r="J626" t="str">
        <f>"9781292040257"</f>
        <v>9781292040257</v>
      </c>
      <c r="K626" t="str">
        <f>"9781292054155"</f>
        <v>9781292054155</v>
      </c>
      <c r="L626" t="s">
        <v>25</v>
      </c>
      <c r="M626" t="s">
        <v>15</v>
      </c>
    </row>
    <row r="627" spans="1:13" x14ac:dyDescent="0.15">
      <c r="A627">
        <v>5138279</v>
      </c>
      <c r="B627" t="s">
        <v>309</v>
      </c>
      <c r="C627" s="1">
        <v>41491</v>
      </c>
      <c r="D627">
        <v>11</v>
      </c>
      <c r="F627" t="s">
        <v>1870</v>
      </c>
      <c r="G627" t="s">
        <v>189</v>
      </c>
      <c r="H627" t="s">
        <v>18</v>
      </c>
      <c r="I627" t="s">
        <v>1871</v>
      </c>
      <c r="J627" t="str">
        <f>"9781292022734"</f>
        <v>9781292022734</v>
      </c>
      <c r="K627" t="str">
        <f>"9781292035932"</f>
        <v>9781292035932</v>
      </c>
      <c r="L627" t="s">
        <v>25</v>
      </c>
      <c r="M627" t="s">
        <v>15</v>
      </c>
    </row>
    <row r="628" spans="1:13" x14ac:dyDescent="0.15">
      <c r="A628">
        <v>5138280</v>
      </c>
      <c r="B628" t="s">
        <v>1872</v>
      </c>
      <c r="C628" s="1">
        <v>41479</v>
      </c>
      <c r="D628">
        <v>10</v>
      </c>
      <c r="F628" t="s">
        <v>1870</v>
      </c>
      <c r="G628" t="s">
        <v>189</v>
      </c>
      <c r="H628" t="s">
        <v>18</v>
      </c>
      <c r="I628" t="s">
        <v>1873</v>
      </c>
      <c r="J628" t="str">
        <f>"9781292022512"</f>
        <v>9781292022512</v>
      </c>
      <c r="K628" t="str">
        <f>"9781292035710"</f>
        <v>9781292035710</v>
      </c>
      <c r="L628" t="s">
        <v>25</v>
      </c>
      <c r="M628" t="s">
        <v>15</v>
      </c>
    </row>
    <row r="629" spans="1:13" x14ac:dyDescent="0.15">
      <c r="A629">
        <v>5138281</v>
      </c>
      <c r="B629" t="s">
        <v>1874</v>
      </c>
      <c r="C629" s="1">
        <v>41579</v>
      </c>
      <c r="D629">
        <v>11</v>
      </c>
      <c r="F629" t="s">
        <v>1870</v>
      </c>
      <c r="G629" t="s">
        <v>189</v>
      </c>
      <c r="H629" t="s">
        <v>18</v>
      </c>
      <c r="I629" t="s">
        <v>1875</v>
      </c>
      <c r="J629" t="str">
        <f>"9781292041018"</f>
        <v>9781292041018</v>
      </c>
      <c r="K629" t="str">
        <f>"9781292054162"</f>
        <v>9781292054162</v>
      </c>
      <c r="L629" t="s">
        <v>25</v>
      </c>
      <c r="M629" t="s">
        <v>15</v>
      </c>
    </row>
    <row r="630" spans="1:13" x14ac:dyDescent="0.15">
      <c r="A630">
        <v>5138282</v>
      </c>
      <c r="B630" t="s">
        <v>1876</v>
      </c>
      <c r="C630" s="1">
        <v>41579</v>
      </c>
      <c r="D630">
        <v>5</v>
      </c>
      <c r="F630" t="s">
        <v>1870</v>
      </c>
      <c r="G630" t="s">
        <v>189</v>
      </c>
      <c r="H630" t="s">
        <v>18</v>
      </c>
      <c r="I630" t="s">
        <v>1877</v>
      </c>
      <c r="J630" t="str">
        <f>"9781292040837"</f>
        <v>9781292040837</v>
      </c>
      <c r="K630" t="str">
        <f>"9781292054179"</f>
        <v>9781292054179</v>
      </c>
      <c r="L630" t="s">
        <v>25</v>
      </c>
      <c r="M630" t="s">
        <v>15</v>
      </c>
    </row>
    <row r="631" spans="1:13" x14ac:dyDescent="0.15">
      <c r="A631">
        <v>5138284</v>
      </c>
      <c r="B631" t="s">
        <v>223</v>
      </c>
      <c r="C631" s="1">
        <v>41513</v>
      </c>
      <c r="D631">
        <v>5</v>
      </c>
      <c r="F631" t="s">
        <v>1878</v>
      </c>
      <c r="H631" t="s">
        <v>18</v>
      </c>
      <c r="I631" t="s">
        <v>1879</v>
      </c>
      <c r="J631" t="str">
        <f>"9781292022215"</f>
        <v>9781292022215</v>
      </c>
      <c r="K631" t="str">
        <f>"9781292035413"</f>
        <v>9781292035413</v>
      </c>
      <c r="L631" t="s">
        <v>25</v>
      </c>
      <c r="M631" t="s">
        <v>15</v>
      </c>
    </row>
    <row r="632" spans="1:13" x14ac:dyDescent="0.15">
      <c r="A632">
        <v>5138285</v>
      </c>
      <c r="B632" t="s">
        <v>1042</v>
      </c>
      <c r="C632" s="1">
        <v>41515</v>
      </c>
      <c r="D632">
        <v>11</v>
      </c>
      <c r="F632" t="s">
        <v>1878</v>
      </c>
      <c r="H632" t="s">
        <v>18</v>
      </c>
      <c r="I632" t="s">
        <v>1880</v>
      </c>
      <c r="J632" t="str">
        <f>"9781292023809"</f>
        <v>9781292023809</v>
      </c>
      <c r="K632" t="str">
        <f>"9781292036939"</f>
        <v>9781292036939</v>
      </c>
      <c r="L632" t="s">
        <v>25</v>
      </c>
      <c r="M632" t="s">
        <v>15</v>
      </c>
    </row>
    <row r="633" spans="1:13" x14ac:dyDescent="0.15">
      <c r="A633">
        <v>5138286</v>
      </c>
      <c r="B633" t="s">
        <v>1343</v>
      </c>
      <c r="C633" s="1">
        <v>41486</v>
      </c>
      <c r="D633">
        <v>10</v>
      </c>
      <c r="F633" t="s">
        <v>1881</v>
      </c>
      <c r="G633" t="s">
        <v>189</v>
      </c>
      <c r="H633" t="s">
        <v>18</v>
      </c>
      <c r="I633" t="s">
        <v>1882</v>
      </c>
      <c r="J633" t="str">
        <f>"9781292023601"</f>
        <v>9781292023601</v>
      </c>
      <c r="K633" t="str">
        <f>"9781292036762"</f>
        <v>9781292036762</v>
      </c>
      <c r="L633" t="s">
        <v>25</v>
      </c>
      <c r="M633" t="s">
        <v>15</v>
      </c>
    </row>
    <row r="634" spans="1:13" x14ac:dyDescent="0.15">
      <c r="A634">
        <v>5138287</v>
      </c>
      <c r="B634" t="s">
        <v>1883</v>
      </c>
      <c r="C634" s="1">
        <v>41550</v>
      </c>
      <c r="D634">
        <v>10</v>
      </c>
      <c r="F634" t="s">
        <v>1878</v>
      </c>
      <c r="H634" t="s">
        <v>18</v>
      </c>
      <c r="I634" t="s">
        <v>1884</v>
      </c>
      <c r="J634" t="str">
        <f>"9781292040424"</f>
        <v>9781292040424</v>
      </c>
      <c r="K634" t="str">
        <f>"9781292054186"</f>
        <v>9781292054186</v>
      </c>
      <c r="L634" t="s">
        <v>25</v>
      </c>
      <c r="M634" t="s">
        <v>15</v>
      </c>
    </row>
    <row r="635" spans="1:13" x14ac:dyDescent="0.15">
      <c r="A635">
        <v>5138288</v>
      </c>
      <c r="B635" t="s">
        <v>420</v>
      </c>
      <c r="C635" s="1">
        <v>41579</v>
      </c>
      <c r="D635">
        <v>5</v>
      </c>
      <c r="F635" t="s">
        <v>1881</v>
      </c>
      <c r="G635" t="s">
        <v>189</v>
      </c>
      <c r="H635" t="s">
        <v>18</v>
      </c>
      <c r="I635" t="s">
        <v>1885</v>
      </c>
      <c r="J635" t="str">
        <f>"9781292040226"</f>
        <v>9781292040226</v>
      </c>
      <c r="K635" t="str">
        <f>"9781292054193"</f>
        <v>9781292054193</v>
      </c>
      <c r="L635" t="s">
        <v>25</v>
      </c>
      <c r="M635" t="s">
        <v>15</v>
      </c>
    </row>
    <row r="636" spans="1:13" x14ac:dyDescent="0.15">
      <c r="A636">
        <v>5138295</v>
      </c>
      <c r="B636" t="s">
        <v>1886</v>
      </c>
      <c r="C636" s="1">
        <v>41550</v>
      </c>
      <c r="D636">
        <v>12</v>
      </c>
      <c r="F636" t="s">
        <v>1887</v>
      </c>
      <c r="H636" t="s">
        <v>18</v>
      </c>
      <c r="I636" t="s">
        <v>1888</v>
      </c>
      <c r="J636" t="str">
        <f>"9781292039251"</f>
        <v>9781292039251</v>
      </c>
      <c r="K636" t="str">
        <f>"9781292054209"</f>
        <v>9781292054209</v>
      </c>
      <c r="L636" t="s">
        <v>25</v>
      </c>
      <c r="M636" t="s">
        <v>15</v>
      </c>
    </row>
    <row r="637" spans="1:13" x14ac:dyDescent="0.15">
      <c r="A637">
        <v>5138296</v>
      </c>
      <c r="B637" t="s">
        <v>1889</v>
      </c>
      <c r="C637" s="1">
        <v>40725</v>
      </c>
      <c r="D637">
        <v>1</v>
      </c>
      <c r="E637" t="s">
        <v>1433</v>
      </c>
      <c r="F637" t="s">
        <v>1890</v>
      </c>
      <c r="G637" t="s">
        <v>65</v>
      </c>
      <c r="H637" t="s">
        <v>18</v>
      </c>
      <c r="I637" t="s">
        <v>1891</v>
      </c>
      <c r="J637" t="str">
        <f>"9780273737988"</f>
        <v>9780273737988</v>
      </c>
      <c r="K637" t="str">
        <f>"9780273737995"</f>
        <v>9780273737995</v>
      </c>
      <c r="L637" t="s">
        <v>25</v>
      </c>
      <c r="M637" t="s">
        <v>112</v>
      </c>
    </row>
    <row r="638" spans="1:13" x14ac:dyDescent="0.15">
      <c r="A638">
        <v>5138297</v>
      </c>
      <c r="B638" t="s">
        <v>1892</v>
      </c>
      <c r="C638" s="1">
        <v>40630</v>
      </c>
      <c r="D638">
        <v>1</v>
      </c>
      <c r="F638" t="s">
        <v>1893</v>
      </c>
      <c r="H638" t="s">
        <v>18</v>
      </c>
      <c r="I638" t="s">
        <v>1894</v>
      </c>
      <c r="J638" t="str">
        <f>""</f>
        <v/>
      </c>
      <c r="K638" t="str">
        <f>"9780273742463"</f>
        <v>9780273742463</v>
      </c>
      <c r="L638" t="s">
        <v>25</v>
      </c>
      <c r="M638" t="s">
        <v>30</v>
      </c>
    </row>
    <row r="639" spans="1:13" x14ac:dyDescent="0.15">
      <c r="A639">
        <v>5138298</v>
      </c>
      <c r="B639" t="s">
        <v>1895</v>
      </c>
      <c r="C639" s="1">
        <v>40567</v>
      </c>
      <c r="D639">
        <v>2</v>
      </c>
      <c r="F639" t="s">
        <v>1896</v>
      </c>
      <c r="H639" t="s">
        <v>18</v>
      </c>
      <c r="I639" t="s">
        <v>1897</v>
      </c>
      <c r="J639" t="str">
        <f>""</f>
        <v/>
      </c>
      <c r="K639" t="str">
        <f>"9780273743460"</f>
        <v>9780273743460</v>
      </c>
      <c r="L639" t="s">
        <v>25</v>
      </c>
      <c r="M639" t="s">
        <v>112</v>
      </c>
    </row>
    <row r="640" spans="1:13" x14ac:dyDescent="0.15">
      <c r="A640">
        <v>5138299</v>
      </c>
      <c r="B640" t="s">
        <v>1898</v>
      </c>
      <c r="C640" s="1">
        <v>40934</v>
      </c>
      <c r="D640">
        <v>2</v>
      </c>
      <c r="F640" t="s">
        <v>1896</v>
      </c>
      <c r="G640" t="s">
        <v>833</v>
      </c>
      <c r="H640" t="s">
        <v>18</v>
      </c>
      <c r="I640" t="s">
        <v>1899</v>
      </c>
      <c r="J640" t="str">
        <f>"9780273770404"</f>
        <v>9780273770404</v>
      </c>
      <c r="K640" t="str">
        <f>"9780273770770"</f>
        <v>9780273770770</v>
      </c>
      <c r="L640" t="s">
        <v>25</v>
      </c>
      <c r="M640" t="s">
        <v>30</v>
      </c>
    </row>
    <row r="641" spans="1:13" x14ac:dyDescent="0.15">
      <c r="A641">
        <v>5138300</v>
      </c>
      <c r="B641" t="s">
        <v>1900</v>
      </c>
      <c r="C641" s="1">
        <v>41275</v>
      </c>
      <c r="D641">
        <v>4</v>
      </c>
      <c r="F641" t="s">
        <v>1901</v>
      </c>
      <c r="G641" t="s">
        <v>836</v>
      </c>
      <c r="H641" t="s">
        <v>18</v>
      </c>
      <c r="I641" t="s">
        <v>1902</v>
      </c>
      <c r="J641" t="str">
        <f>"9780273770411"</f>
        <v>9780273770411</v>
      </c>
      <c r="K641" t="str">
        <f>"9780273770428"</f>
        <v>9780273770428</v>
      </c>
      <c r="L641" t="s">
        <v>25</v>
      </c>
      <c r="M641" t="s">
        <v>15</v>
      </c>
    </row>
    <row r="642" spans="1:13" x14ac:dyDescent="0.15">
      <c r="A642">
        <v>5138306</v>
      </c>
      <c r="B642" t="s">
        <v>1903</v>
      </c>
      <c r="C642" s="1">
        <v>41000</v>
      </c>
      <c r="D642">
        <v>4</v>
      </c>
      <c r="F642" t="s">
        <v>1904</v>
      </c>
      <c r="G642" t="s">
        <v>117</v>
      </c>
      <c r="H642" t="s">
        <v>18</v>
      </c>
      <c r="I642" t="s">
        <v>1905</v>
      </c>
      <c r="J642" t="str">
        <f>"9781408272831"</f>
        <v>9781408272831</v>
      </c>
      <c r="K642" t="str">
        <f>"9781408272848"</f>
        <v>9781408272848</v>
      </c>
      <c r="L642" t="s">
        <v>25</v>
      </c>
      <c r="M642" t="s">
        <v>15</v>
      </c>
    </row>
    <row r="643" spans="1:13" x14ac:dyDescent="0.15">
      <c r="A643">
        <v>5138310</v>
      </c>
      <c r="B643" t="s">
        <v>1906</v>
      </c>
      <c r="C643" s="1">
        <v>41579</v>
      </c>
      <c r="D643">
        <v>12</v>
      </c>
      <c r="F643" t="s">
        <v>1907</v>
      </c>
      <c r="G643" t="s">
        <v>1412</v>
      </c>
      <c r="H643" t="s">
        <v>18</v>
      </c>
      <c r="I643" t="s">
        <v>1908</v>
      </c>
      <c r="J643" t="str">
        <f>"9781292042299"</f>
        <v>9781292042299</v>
      </c>
      <c r="K643" t="str">
        <f>"9781292054216"</f>
        <v>9781292054216</v>
      </c>
      <c r="L643" t="s">
        <v>25</v>
      </c>
      <c r="M643" t="s">
        <v>15</v>
      </c>
    </row>
    <row r="644" spans="1:13" x14ac:dyDescent="0.15">
      <c r="A644">
        <v>5138313</v>
      </c>
      <c r="B644" t="s">
        <v>1909</v>
      </c>
      <c r="C644" s="1">
        <v>41488</v>
      </c>
      <c r="D644">
        <v>7</v>
      </c>
      <c r="F644" t="s">
        <v>1910</v>
      </c>
      <c r="G644" t="s">
        <v>946</v>
      </c>
      <c r="H644" t="s">
        <v>18</v>
      </c>
      <c r="I644" t="s">
        <v>1911</v>
      </c>
      <c r="J644" t="str">
        <f>"9781292021348"</f>
        <v>9781292021348</v>
      </c>
      <c r="K644" t="str">
        <f>"9781292034577"</f>
        <v>9781292034577</v>
      </c>
      <c r="L644" t="s">
        <v>25</v>
      </c>
      <c r="M644" t="s">
        <v>15</v>
      </c>
    </row>
    <row r="645" spans="1:13" x14ac:dyDescent="0.15">
      <c r="A645">
        <v>5138320</v>
      </c>
      <c r="B645" t="s">
        <v>1912</v>
      </c>
      <c r="C645" s="1">
        <v>41122</v>
      </c>
      <c r="D645">
        <v>1</v>
      </c>
      <c r="F645" t="s">
        <v>1913</v>
      </c>
      <c r="G645" t="s">
        <v>117</v>
      </c>
      <c r="H645" t="s">
        <v>18</v>
      </c>
      <c r="I645" t="s">
        <v>1914</v>
      </c>
      <c r="J645" t="str">
        <f>"9781408296028"</f>
        <v>9781408296028</v>
      </c>
      <c r="K645" t="str">
        <f>"9781408296035"</f>
        <v>9781408296035</v>
      </c>
      <c r="L645" t="s">
        <v>25</v>
      </c>
      <c r="M645" t="s">
        <v>15</v>
      </c>
    </row>
    <row r="646" spans="1:13" x14ac:dyDescent="0.15">
      <c r="A646">
        <v>5138329</v>
      </c>
      <c r="B646" t="s">
        <v>1915</v>
      </c>
      <c r="C646" s="1">
        <v>40512</v>
      </c>
      <c r="D646">
        <v>1</v>
      </c>
      <c r="F646" t="s">
        <v>1916</v>
      </c>
      <c r="G646" t="s">
        <v>1050</v>
      </c>
      <c r="H646" t="s">
        <v>18</v>
      </c>
      <c r="I646" t="s">
        <v>1917</v>
      </c>
      <c r="J646" t="str">
        <f>"9780273722724"</f>
        <v>9780273722724</v>
      </c>
      <c r="K646" t="str">
        <f>"9780273722731"</f>
        <v>9780273722731</v>
      </c>
      <c r="L646" t="s">
        <v>25</v>
      </c>
      <c r="M646" t="s">
        <v>147</v>
      </c>
    </row>
    <row r="647" spans="1:13" x14ac:dyDescent="0.15">
      <c r="A647">
        <v>5138331</v>
      </c>
      <c r="B647" t="s">
        <v>1918</v>
      </c>
      <c r="C647" s="1">
        <v>41579</v>
      </c>
      <c r="D647">
        <v>3</v>
      </c>
      <c r="F647" t="s">
        <v>1919</v>
      </c>
      <c r="G647" t="s">
        <v>27</v>
      </c>
      <c r="H647" t="s">
        <v>18</v>
      </c>
      <c r="I647" t="s">
        <v>1920</v>
      </c>
      <c r="J647" t="str">
        <f>"9781292041797"</f>
        <v>9781292041797</v>
      </c>
      <c r="K647" t="str">
        <f>"9781292054247"</f>
        <v>9781292054247</v>
      </c>
      <c r="L647" t="s">
        <v>25</v>
      </c>
      <c r="M647" t="s">
        <v>15</v>
      </c>
    </row>
    <row r="648" spans="1:13" x14ac:dyDescent="0.15">
      <c r="A648">
        <v>5138335</v>
      </c>
      <c r="B648" t="s">
        <v>1921</v>
      </c>
      <c r="C648" s="1">
        <v>41515</v>
      </c>
      <c r="D648">
        <v>10</v>
      </c>
      <c r="F648" t="s">
        <v>1922</v>
      </c>
      <c r="H648" t="s">
        <v>18</v>
      </c>
      <c r="I648" t="s">
        <v>1923</v>
      </c>
      <c r="J648" t="str">
        <f>"9781292026435"</f>
        <v>9781292026435</v>
      </c>
      <c r="K648" t="str">
        <f>"9781292038827"</f>
        <v>9781292038827</v>
      </c>
      <c r="L648" t="s">
        <v>25</v>
      </c>
      <c r="M648" t="s">
        <v>15</v>
      </c>
    </row>
    <row r="649" spans="1:13" x14ac:dyDescent="0.15">
      <c r="A649">
        <v>5138336</v>
      </c>
      <c r="B649" t="s">
        <v>1924</v>
      </c>
      <c r="C649" s="1">
        <v>41515</v>
      </c>
      <c r="D649">
        <v>10</v>
      </c>
      <c r="F649" t="s">
        <v>1925</v>
      </c>
      <c r="H649" t="s">
        <v>18</v>
      </c>
      <c r="I649" t="s">
        <v>1926</v>
      </c>
      <c r="J649" t="str">
        <f>"9781292026374"</f>
        <v>9781292026374</v>
      </c>
      <c r="K649" t="str">
        <f>"9781292038766"</f>
        <v>9781292038766</v>
      </c>
      <c r="L649" t="s">
        <v>25</v>
      </c>
      <c r="M649" t="s">
        <v>15</v>
      </c>
    </row>
    <row r="650" spans="1:13" x14ac:dyDescent="0.15">
      <c r="A650">
        <v>5138337</v>
      </c>
      <c r="B650" t="s">
        <v>1927</v>
      </c>
      <c r="C650" s="1">
        <v>41485</v>
      </c>
      <c r="D650">
        <v>7</v>
      </c>
      <c r="F650" t="s">
        <v>1928</v>
      </c>
      <c r="G650" t="s">
        <v>806</v>
      </c>
      <c r="H650" t="s">
        <v>18</v>
      </c>
      <c r="I650" t="s">
        <v>1929</v>
      </c>
      <c r="J650" t="str">
        <f>"9781292026466"</f>
        <v>9781292026466</v>
      </c>
      <c r="K650" t="str">
        <f>"9781292038858"</f>
        <v>9781292038858</v>
      </c>
      <c r="L650" t="s">
        <v>25</v>
      </c>
      <c r="M650" t="s">
        <v>15</v>
      </c>
    </row>
    <row r="651" spans="1:13" x14ac:dyDescent="0.15">
      <c r="A651">
        <v>5138342</v>
      </c>
      <c r="B651" t="s">
        <v>1930</v>
      </c>
      <c r="C651" s="1">
        <v>41550</v>
      </c>
      <c r="D651">
        <v>8</v>
      </c>
      <c r="F651" t="s">
        <v>1931</v>
      </c>
      <c r="H651" t="s">
        <v>18</v>
      </c>
      <c r="I651" t="s">
        <v>1932</v>
      </c>
      <c r="J651" t="str">
        <f>"9781292027401"</f>
        <v>9781292027401</v>
      </c>
      <c r="K651" t="str">
        <f>"9781292054278"</f>
        <v>9781292054278</v>
      </c>
      <c r="L651" t="s">
        <v>25</v>
      </c>
      <c r="M651" t="s">
        <v>15</v>
      </c>
    </row>
    <row r="652" spans="1:13" x14ac:dyDescent="0.15">
      <c r="A652">
        <v>5138343</v>
      </c>
      <c r="B652" t="s">
        <v>1933</v>
      </c>
      <c r="C652" s="1">
        <v>40807</v>
      </c>
      <c r="D652">
        <v>1</v>
      </c>
      <c r="F652" t="s">
        <v>1934</v>
      </c>
      <c r="H652" t="s">
        <v>18</v>
      </c>
      <c r="I652" t="s">
        <v>1935</v>
      </c>
      <c r="J652" t="str">
        <f>""</f>
        <v/>
      </c>
      <c r="K652" t="str">
        <f>"9780273729211"</f>
        <v>9780273729211</v>
      </c>
      <c r="L652" t="s">
        <v>25</v>
      </c>
      <c r="M652" t="s">
        <v>112</v>
      </c>
    </row>
    <row r="653" spans="1:13" x14ac:dyDescent="0.15">
      <c r="A653">
        <v>5138349</v>
      </c>
      <c r="B653" t="s">
        <v>1936</v>
      </c>
      <c r="C653" s="1">
        <v>41375</v>
      </c>
      <c r="D653">
        <v>5</v>
      </c>
      <c r="F653" t="s">
        <v>1937</v>
      </c>
      <c r="G653" t="s">
        <v>65</v>
      </c>
      <c r="H653" t="s">
        <v>18</v>
      </c>
      <c r="I653" t="s">
        <v>1938</v>
      </c>
      <c r="J653" t="str">
        <f>"9780273755524"</f>
        <v>9780273755524</v>
      </c>
      <c r="K653" t="str">
        <f>"9780273755593"</f>
        <v>9780273755593</v>
      </c>
      <c r="L653" t="s">
        <v>25</v>
      </c>
      <c r="M653" t="s">
        <v>15</v>
      </c>
    </row>
    <row r="654" spans="1:13" x14ac:dyDescent="0.15">
      <c r="A654">
        <v>5138350</v>
      </c>
      <c r="B654" t="s">
        <v>1939</v>
      </c>
      <c r="C654" s="1">
        <v>41579</v>
      </c>
      <c r="D654">
        <v>5</v>
      </c>
      <c r="F654" t="s">
        <v>1940</v>
      </c>
      <c r="G654" t="s">
        <v>27</v>
      </c>
      <c r="H654" t="s">
        <v>18</v>
      </c>
      <c r="I654" t="s">
        <v>1941</v>
      </c>
      <c r="J654" t="str">
        <f>"9781292041803"</f>
        <v>9781292041803</v>
      </c>
      <c r="K654" t="str">
        <f>"9781292054315"</f>
        <v>9781292054315</v>
      </c>
      <c r="L654" t="s">
        <v>25</v>
      </c>
      <c r="M654" t="s">
        <v>15</v>
      </c>
    </row>
    <row r="655" spans="1:13" x14ac:dyDescent="0.15">
      <c r="A655">
        <v>5138352</v>
      </c>
      <c r="B655" t="s">
        <v>1942</v>
      </c>
      <c r="C655" s="1">
        <v>41498</v>
      </c>
      <c r="D655">
        <v>5</v>
      </c>
      <c r="F655" t="s">
        <v>1943</v>
      </c>
      <c r="G655" t="s">
        <v>189</v>
      </c>
      <c r="H655" t="s">
        <v>18</v>
      </c>
      <c r="I655" t="s">
        <v>1944</v>
      </c>
      <c r="J655" t="str">
        <f>"9781292022871"</f>
        <v>9781292022871</v>
      </c>
      <c r="K655" t="str">
        <f>"9781292036069"</f>
        <v>9781292036069</v>
      </c>
      <c r="L655" t="s">
        <v>25</v>
      </c>
      <c r="M655" t="s">
        <v>15</v>
      </c>
    </row>
    <row r="656" spans="1:13" x14ac:dyDescent="0.15">
      <c r="A656">
        <v>5138353</v>
      </c>
      <c r="B656" t="s">
        <v>309</v>
      </c>
      <c r="C656" s="1">
        <v>41473</v>
      </c>
      <c r="D656">
        <v>6</v>
      </c>
      <c r="F656" t="s">
        <v>1943</v>
      </c>
      <c r="G656" t="s">
        <v>189</v>
      </c>
      <c r="H656" t="s">
        <v>18</v>
      </c>
      <c r="I656" t="s">
        <v>1945</v>
      </c>
      <c r="J656" t="str">
        <f>"9781292024899"</f>
        <v>9781292024899</v>
      </c>
      <c r="K656" t="str">
        <f>"9781292037530"</f>
        <v>9781292037530</v>
      </c>
      <c r="L656" t="s">
        <v>25</v>
      </c>
      <c r="M656" t="s">
        <v>15</v>
      </c>
    </row>
    <row r="657" spans="1:13" x14ac:dyDescent="0.15">
      <c r="A657">
        <v>5138356</v>
      </c>
      <c r="B657" t="s">
        <v>1927</v>
      </c>
      <c r="C657" s="1">
        <v>41484</v>
      </c>
      <c r="D657">
        <v>7</v>
      </c>
      <c r="F657" t="s">
        <v>1946</v>
      </c>
      <c r="G657" t="s">
        <v>806</v>
      </c>
      <c r="H657" t="s">
        <v>18</v>
      </c>
      <c r="I657" t="s">
        <v>1947</v>
      </c>
      <c r="J657" t="str">
        <f>"9781292026442"</f>
        <v>9781292026442</v>
      </c>
      <c r="K657" t="str">
        <f>"9781292038834"</f>
        <v>9781292038834</v>
      </c>
      <c r="L657" t="s">
        <v>25</v>
      </c>
      <c r="M657" t="s">
        <v>15</v>
      </c>
    </row>
    <row r="658" spans="1:13" x14ac:dyDescent="0.15">
      <c r="A658">
        <v>5138358</v>
      </c>
      <c r="B658" t="s">
        <v>1948</v>
      </c>
      <c r="C658" s="1">
        <v>40304</v>
      </c>
      <c r="D658">
        <v>2</v>
      </c>
      <c r="F658" t="s">
        <v>1949</v>
      </c>
      <c r="G658" t="s">
        <v>189</v>
      </c>
      <c r="H658" t="s">
        <v>18</v>
      </c>
      <c r="I658" t="s">
        <v>1950</v>
      </c>
      <c r="J658" t="str">
        <f>"9780273728917"</f>
        <v>9780273728917</v>
      </c>
      <c r="K658" t="str">
        <f>"9780273728924"</f>
        <v>9780273728924</v>
      </c>
      <c r="L658" t="s">
        <v>25</v>
      </c>
      <c r="M658" t="s">
        <v>112</v>
      </c>
    </row>
    <row r="659" spans="1:13" x14ac:dyDescent="0.15">
      <c r="A659">
        <v>5138359</v>
      </c>
      <c r="B659" t="s">
        <v>1951</v>
      </c>
      <c r="C659" s="1">
        <v>41499</v>
      </c>
      <c r="D659">
        <v>1</v>
      </c>
      <c r="F659" t="s">
        <v>1952</v>
      </c>
      <c r="G659" t="s">
        <v>117</v>
      </c>
      <c r="H659" t="s">
        <v>18</v>
      </c>
      <c r="I659" t="s">
        <v>1953</v>
      </c>
      <c r="J659" t="str">
        <f>"9781408204184"</f>
        <v>9781408204184</v>
      </c>
      <c r="K659" t="str">
        <f>"9781408204214"</f>
        <v>9781408204214</v>
      </c>
      <c r="L659" t="s">
        <v>25</v>
      </c>
      <c r="M659" t="s">
        <v>15</v>
      </c>
    </row>
    <row r="660" spans="1:13" x14ac:dyDescent="0.15">
      <c r="A660">
        <v>5138360</v>
      </c>
      <c r="B660" t="s">
        <v>1954</v>
      </c>
      <c r="C660" s="1">
        <v>41478</v>
      </c>
      <c r="D660">
        <v>3</v>
      </c>
      <c r="F660" t="s">
        <v>1955</v>
      </c>
      <c r="G660" t="s">
        <v>1614</v>
      </c>
      <c r="H660" t="s">
        <v>18</v>
      </c>
      <c r="I660" t="s">
        <v>1956</v>
      </c>
      <c r="J660" t="str">
        <f>"9781292025759"</f>
        <v>9781292025759</v>
      </c>
      <c r="K660" t="str">
        <f>"9781292038179"</f>
        <v>9781292038179</v>
      </c>
      <c r="L660" t="s">
        <v>25</v>
      </c>
      <c r="M660" t="s">
        <v>15</v>
      </c>
    </row>
    <row r="661" spans="1:13" x14ac:dyDescent="0.15">
      <c r="A661">
        <v>5138363</v>
      </c>
      <c r="B661" t="s">
        <v>1957</v>
      </c>
      <c r="C661" s="1">
        <v>40276</v>
      </c>
      <c r="D661">
        <v>4</v>
      </c>
      <c r="F661" t="s">
        <v>1958</v>
      </c>
      <c r="G661" t="s">
        <v>36</v>
      </c>
      <c r="H661" t="s">
        <v>18</v>
      </c>
      <c r="I661" t="s">
        <v>1959</v>
      </c>
      <c r="J661" t="str">
        <f>"9780273704324"</f>
        <v>9780273704324</v>
      </c>
      <c r="K661" t="str">
        <f>"9780273743521"</f>
        <v>9780273743521</v>
      </c>
      <c r="L661" t="s">
        <v>25</v>
      </c>
      <c r="M661" t="s">
        <v>39</v>
      </c>
    </row>
    <row r="662" spans="1:13" x14ac:dyDescent="0.15">
      <c r="A662">
        <v>5138367</v>
      </c>
      <c r="B662" t="s">
        <v>1960</v>
      </c>
      <c r="C662" s="1">
        <v>41579</v>
      </c>
      <c r="D662">
        <v>1</v>
      </c>
      <c r="F662" t="s">
        <v>1961</v>
      </c>
      <c r="G662" t="s">
        <v>1379</v>
      </c>
      <c r="H662" t="s">
        <v>18</v>
      </c>
      <c r="I662" t="s">
        <v>1962</v>
      </c>
      <c r="J662" t="str">
        <f>"9781292039701"</f>
        <v>9781292039701</v>
      </c>
      <c r="K662" t="str">
        <f>"9781292054346"</f>
        <v>9781292054346</v>
      </c>
      <c r="L662" t="s">
        <v>25</v>
      </c>
      <c r="M662" t="s">
        <v>15</v>
      </c>
    </row>
    <row r="663" spans="1:13" x14ac:dyDescent="0.15">
      <c r="A663">
        <v>5138375</v>
      </c>
      <c r="B663" t="s">
        <v>1963</v>
      </c>
      <c r="C663" s="1">
        <v>41488</v>
      </c>
      <c r="D663">
        <v>11</v>
      </c>
      <c r="F663" t="s">
        <v>1964</v>
      </c>
      <c r="G663" t="s">
        <v>189</v>
      </c>
      <c r="H663" t="s">
        <v>18</v>
      </c>
      <c r="I663" t="s">
        <v>1965</v>
      </c>
      <c r="J663" t="str">
        <f>"9781292023663"</f>
        <v>9781292023663</v>
      </c>
      <c r="K663" t="str">
        <f>"9781292036816"</f>
        <v>9781292036816</v>
      </c>
      <c r="L663" t="s">
        <v>25</v>
      </c>
      <c r="M663" t="s">
        <v>15</v>
      </c>
    </row>
    <row r="664" spans="1:13" x14ac:dyDescent="0.15">
      <c r="A664">
        <v>5138376</v>
      </c>
      <c r="B664" t="s">
        <v>1966</v>
      </c>
      <c r="C664" s="1">
        <v>41339</v>
      </c>
      <c r="D664">
        <v>5</v>
      </c>
      <c r="F664" t="s">
        <v>1967</v>
      </c>
      <c r="H664" t="s">
        <v>18</v>
      </c>
      <c r="I664" t="s">
        <v>1968</v>
      </c>
      <c r="J664" t="str">
        <f>""</f>
        <v/>
      </c>
      <c r="K664" t="str">
        <f>"9781447930136"</f>
        <v>9781447930136</v>
      </c>
      <c r="L664" t="s">
        <v>25</v>
      </c>
      <c r="M664" t="s">
        <v>298</v>
      </c>
    </row>
    <row r="665" spans="1:13" x14ac:dyDescent="0.15">
      <c r="A665">
        <v>5138377</v>
      </c>
      <c r="B665" t="s">
        <v>1969</v>
      </c>
      <c r="C665" s="1">
        <v>41488</v>
      </c>
      <c r="D665">
        <v>6</v>
      </c>
      <c r="F665" t="s">
        <v>1970</v>
      </c>
      <c r="G665" t="s">
        <v>27</v>
      </c>
      <c r="H665" t="s">
        <v>18</v>
      </c>
      <c r="I665" t="s">
        <v>1971</v>
      </c>
      <c r="J665" t="str">
        <f>"9781292021973"</f>
        <v>9781292021973</v>
      </c>
      <c r="K665" t="str">
        <f>"9781292035185"</f>
        <v>9781292035185</v>
      </c>
      <c r="L665" t="s">
        <v>25</v>
      </c>
      <c r="M665" t="s">
        <v>15</v>
      </c>
    </row>
    <row r="666" spans="1:13" x14ac:dyDescent="0.15">
      <c r="A666">
        <v>5138378</v>
      </c>
      <c r="B666" t="s">
        <v>1972</v>
      </c>
      <c r="C666" s="1">
        <v>41478</v>
      </c>
      <c r="D666">
        <v>5</v>
      </c>
      <c r="F666" t="s">
        <v>1973</v>
      </c>
      <c r="G666" t="s">
        <v>65</v>
      </c>
      <c r="H666" t="s">
        <v>18</v>
      </c>
      <c r="I666" t="s">
        <v>1974</v>
      </c>
      <c r="J666" t="str">
        <f>"9781292024912"</f>
        <v>9781292024912</v>
      </c>
      <c r="K666" t="str">
        <f>"9781292037554"</f>
        <v>9781292037554</v>
      </c>
      <c r="L666" t="s">
        <v>25</v>
      </c>
      <c r="M666" t="s">
        <v>15</v>
      </c>
    </row>
    <row r="667" spans="1:13" x14ac:dyDescent="0.15">
      <c r="A667">
        <v>5138380</v>
      </c>
      <c r="B667" t="s">
        <v>1975</v>
      </c>
      <c r="C667" s="1">
        <v>40513</v>
      </c>
      <c r="D667">
        <v>7</v>
      </c>
      <c r="F667" t="s">
        <v>1976</v>
      </c>
      <c r="G667" t="s">
        <v>1120</v>
      </c>
      <c r="H667" t="s">
        <v>18</v>
      </c>
      <c r="I667" t="s">
        <v>1977</v>
      </c>
      <c r="J667" t="str">
        <f>"9781408204238"</f>
        <v>9781408204238</v>
      </c>
      <c r="K667" t="str">
        <f>"9781408204276"</f>
        <v>9781408204276</v>
      </c>
      <c r="L667" t="s">
        <v>25</v>
      </c>
      <c r="M667" t="s">
        <v>594</v>
      </c>
    </row>
    <row r="668" spans="1:13" x14ac:dyDescent="0.15">
      <c r="A668">
        <v>5138381</v>
      </c>
      <c r="B668" t="s">
        <v>1978</v>
      </c>
      <c r="C668" s="1">
        <v>41478</v>
      </c>
      <c r="D668">
        <v>3</v>
      </c>
      <c r="F668" t="s">
        <v>1979</v>
      </c>
      <c r="G668" t="s">
        <v>813</v>
      </c>
      <c r="H668" t="s">
        <v>18</v>
      </c>
      <c r="I668" t="s">
        <v>1980</v>
      </c>
      <c r="J668" t="str">
        <f>"9781292021256"</f>
        <v>9781292021256</v>
      </c>
      <c r="K668" t="str">
        <f>"9781292034485"</f>
        <v>9781292034485</v>
      </c>
      <c r="L668" t="s">
        <v>25</v>
      </c>
      <c r="M668" t="s">
        <v>15</v>
      </c>
    </row>
    <row r="669" spans="1:13" x14ac:dyDescent="0.15">
      <c r="A669">
        <v>5138383</v>
      </c>
      <c r="B669" t="s">
        <v>1981</v>
      </c>
      <c r="C669" s="1">
        <v>41472</v>
      </c>
      <c r="D669">
        <v>4</v>
      </c>
      <c r="F669" t="s">
        <v>1982</v>
      </c>
      <c r="G669" t="s">
        <v>304</v>
      </c>
      <c r="H669" t="s">
        <v>18</v>
      </c>
      <c r="I669" t="s">
        <v>1983</v>
      </c>
      <c r="J669" t="str">
        <f>"9781292025315"</f>
        <v>9781292025315</v>
      </c>
      <c r="K669" t="str">
        <f>"9781292037875"</f>
        <v>9781292037875</v>
      </c>
      <c r="L669" t="s">
        <v>25</v>
      </c>
      <c r="M669" t="s">
        <v>15</v>
      </c>
    </row>
    <row r="670" spans="1:13" x14ac:dyDescent="0.15">
      <c r="A670">
        <v>5138386</v>
      </c>
      <c r="B670" t="s">
        <v>1984</v>
      </c>
      <c r="C670" s="1">
        <v>41473</v>
      </c>
      <c r="D670">
        <v>1</v>
      </c>
      <c r="F670" t="s">
        <v>1985</v>
      </c>
      <c r="G670" t="s">
        <v>1530</v>
      </c>
      <c r="H670" t="s">
        <v>18</v>
      </c>
      <c r="I670" t="s">
        <v>1986</v>
      </c>
      <c r="J670" t="str">
        <f>"9781292020839"</f>
        <v>9781292020839</v>
      </c>
      <c r="K670" t="str">
        <f>"9781292034089"</f>
        <v>9781292034089</v>
      </c>
      <c r="L670" t="s">
        <v>25</v>
      </c>
      <c r="M670" t="s">
        <v>15</v>
      </c>
    </row>
    <row r="671" spans="1:13" x14ac:dyDescent="0.15">
      <c r="A671">
        <v>5138387</v>
      </c>
      <c r="B671" t="s">
        <v>1987</v>
      </c>
      <c r="C671" s="1">
        <v>40695</v>
      </c>
      <c r="D671">
        <v>2</v>
      </c>
      <c r="F671" t="s">
        <v>1988</v>
      </c>
      <c r="G671" t="s">
        <v>1989</v>
      </c>
      <c r="H671" t="s">
        <v>18</v>
      </c>
      <c r="I671" t="s">
        <v>1990</v>
      </c>
      <c r="J671" t="str">
        <f>"9781408226100"</f>
        <v>9781408226100</v>
      </c>
      <c r="K671" t="str">
        <f>"9781408226117"</f>
        <v>9781408226117</v>
      </c>
      <c r="L671" t="s">
        <v>25</v>
      </c>
      <c r="M671" t="s">
        <v>147</v>
      </c>
    </row>
    <row r="672" spans="1:13" x14ac:dyDescent="0.15">
      <c r="A672">
        <v>5138397</v>
      </c>
      <c r="B672" t="s">
        <v>1991</v>
      </c>
      <c r="C672" s="1">
        <v>41513</v>
      </c>
      <c r="D672">
        <v>5</v>
      </c>
      <c r="F672" t="s">
        <v>1992</v>
      </c>
      <c r="H672" t="s">
        <v>18</v>
      </c>
      <c r="I672" t="s">
        <v>1993</v>
      </c>
      <c r="J672" t="str">
        <f>"9781292021324"</f>
        <v>9781292021324</v>
      </c>
      <c r="K672" t="str">
        <f>"9781292034553"</f>
        <v>9781292034553</v>
      </c>
      <c r="L672" t="s">
        <v>25</v>
      </c>
      <c r="M672" t="s">
        <v>15</v>
      </c>
    </row>
    <row r="673" spans="1:13" x14ac:dyDescent="0.15">
      <c r="A673">
        <v>5138398</v>
      </c>
      <c r="B673" t="s">
        <v>1068</v>
      </c>
      <c r="C673" s="1">
        <v>41481</v>
      </c>
      <c r="D673">
        <v>7</v>
      </c>
      <c r="F673" t="s">
        <v>1994</v>
      </c>
      <c r="G673" t="s">
        <v>27</v>
      </c>
      <c r="H673" t="s">
        <v>18</v>
      </c>
      <c r="I673" t="s">
        <v>1995</v>
      </c>
      <c r="J673" t="str">
        <f>"9781292022673"</f>
        <v>9781292022673</v>
      </c>
      <c r="K673" t="str">
        <f>"9781292035871"</f>
        <v>9781292035871</v>
      </c>
      <c r="L673" t="s">
        <v>25</v>
      </c>
      <c r="M673" t="s">
        <v>15</v>
      </c>
    </row>
    <row r="674" spans="1:13" x14ac:dyDescent="0.15">
      <c r="A674">
        <v>5138401</v>
      </c>
      <c r="B674" t="s">
        <v>1996</v>
      </c>
      <c r="C674" s="1">
        <v>40664</v>
      </c>
      <c r="D674">
        <v>2</v>
      </c>
      <c r="F674" t="s">
        <v>1997</v>
      </c>
      <c r="G674" t="s">
        <v>27</v>
      </c>
      <c r="H674" t="s">
        <v>18</v>
      </c>
      <c r="I674" t="s">
        <v>1998</v>
      </c>
      <c r="J674" t="str">
        <f>"9780273743798"</f>
        <v>9780273743798</v>
      </c>
      <c r="K674" t="str">
        <f>"9780273743804"</f>
        <v>9780273743804</v>
      </c>
      <c r="L674" t="s">
        <v>25</v>
      </c>
      <c r="M674" t="s">
        <v>112</v>
      </c>
    </row>
    <row r="675" spans="1:13" x14ac:dyDescent="0.15">
      <c r="A675">
        <v>5138402</v>
      </c>
      <c r="B675" t="s">
        <v>1999</v>
      </c>
      <c r="C675" s="1">
        <v>41215</v>
      </c>
      <c r="D675">
        <v>2</v>
      </c>
      <c r="F675" t="s">
        <v>2000</v>
      </c>
      <c r="H675" t="s">
        <v>18</v>
      </c>
      <c r="I675" t="s">
        <v>2001</v>
      </c>
      <c r="J675" t="str">
        <f>""</f>
        <v/>
      </c>
      <c r="K675" t="str">
        <f>"9780273743842"</f>
        <v>9780273743842</v>
      </c>
      <c r="L675" t="s">
        <v>25</v>
      </c>
      <c r="M675" t="s">
        <v>112</v>
      </c>
    </row>
    <row r="676" spans="1:13" x14ac:dyDescent="0.15">
      <c r="A676">
        <v>5138403</v>
      </c>
      <c r="B676" t="s">
        <v>2002</v>
      </c>
      <c r="C676" s="1">
        <v>40693</v>
      </c>
      <c r="D676">
        <v>2</v>
      </c>
      <c r="F676" t="s">
        <v>1997</v>
      </c>
      <c r="G676" t="s">
        <v>946</v>
      </c>
      <c r="H676" t="s">
        <v>18</v>
      </c>
      <c r="I676" t="s">
        <v>2003</v>
      </c>
      <c r="J676" t="str">
        <f>"9780273743811"</f>
        <v>9780273743811</v>
      </c>
      <c r="K676" t="str">
        <f>"9780273743828"</f>
        <v>9780273743828</v>
      </c>
      <c r="L676" t="s">
        <v>25</v>
      </c>
      <c r="M676" t="s">
        <v>112</v>
      </c>
    </row>
    <row r="677" spans="1:13" x14ac:dyDescent="0.15">
      <c r="A677">
        <v>5138404</v>
      </c>
      <c r="B677" t="s">
        <v>2004</v>
      </c>
      <c r="C677" s="1">
        <v>41122</v>
      </c>
      <c r="D677">
        <v>1</v>
      </c>
      <c r="F677" t="s">
        <v>2005</v>
      </c>
      <c r="G677" t="s">
        <v>946</v>
      </c>
      <c r="H677" t="s">
        <v>18</v>
      </c>
      <c r="I677" t="s">
        <v>2006</v>
      </c>
      <c r="J677" t="str">
        <f>"9780273773337"</f>
        <v>9780273773337</v>
      </c>
      <c r="K677" t="str">
        <f>"9780273773368"</f>
        <v>9780273773368</v>
      </c>
      <c r="L677" t="s">
        <v>25</v>
      </c>
      <c r="M677" t="s">
        <v>15</v>
      </c>
    </row>
    <row r="678" spans="1:13" x14ac:dyDescent="0.15">
      <c r="A678">
        <v>5138406</v>
      </c>
      <c r="B678" t="s">
        <v>2007</v>
      </c>
      <c r="C678" s="1">
        <v>41394</v>
      </c>
      <c r="D678">
        <v>1</v>
      </c>
      <c r="F678" t="s">
        <v>2008</v>
      </c>
      <c r="G678" t="s">
        <v>688</v>
      </c>
      <c r="H678" t="s">
        <v>18</v>
      </c>
      <c r="I678" t="s">
        <v>2009</v>
      </c>
      <c r="J678" t="str">
        <f>"9780273773917"</f>
        <v>9780273773917</v>
      </c>
      <c r="K678" t="str">
        <f>"9780273774075"</f>
        <v>9780273774075</v>
      </c>
      <c r="L678" t="s">
        <v>25</v>
      </c>
      <c r="M678" t="s">
        <v>15</v>
      </c>
    </row>
    <row r="679" spans="1:13" x14ac:dyDescent="0.15">
      <c r="A679">
        <v>5138410</v>
      </c>
      <c r="B679" t="s">
        <v>2010</v>
      </c>
      <c r="C679" s="1">
        <v>41513</v>
      </c>
      <c r="D679">
        <v>7</v>
      </c>
      <c r="F679" t="s">
        <v>2011</v>
      </c>
      <c r="H679" t="s">
        <v>18</v>
      </c>
      <c r="I679" t="s">
        <v>2012</v>
      </c>
      <c r="J679" t="str">
        <f>"9781292022239"</f>
        <v>9781292022239</v>
      </c>
      <c r="K679" t="str">
        <f>"9781292035437"</f>
        <v>9781292035437</v>
      </c>
      <c r="L679" t="s">
        <v>25</v>
      </c>
      <c r="M679" t="s">
        <v>15</v>
      </c>
    </row>
    <row r="680" spans="1:13" x14ac:dyDescent="0.15">
      <c r="A680">
        <v>5138411</v>
      </c>
      <c r="B680" t="s">
        <v>2013</v>
      </c>
      <c r="C680" s="1">
        <v>41473</v>
      </c>
      <c r="D680">
        <v>8</v>
      </c>
      <c r="F680" t="s">
        <v>2014</v>
      </c>
      <c r="G680" t="s">
        <v>36</v>
      </c>
      <c r="H680" t="s">
        <v>18</v>
      </c>
      <c r="I680" t="s">
        <v>2015</v>
      </c>
      <c r="J680" t="str">
        <f>"9781292023540"</f>
        <v>9781292023540</v>
      </c>
      <c r="K680" t="str">
        <f>"9781292036717"</f>
        <v>9781292036717</v>
      </c>
      <c r="L680" t="s">
        <v>25</v>
      </c>
      <c r="M680" t="s">
        <v>15</v>
      </c>
    </row>
    <row r="681" spans="1:13" x14ac:dyDescent="0.15">
      <c r="A681">
        <v>5138419</v>
      </c>
      <c r="B681" t="s">
        <v>2016</v>
      </c>
      <c r="C681" s="1">
        <v>41537</v>
      </c>
      <c r="D681">
        <v>7</v>
      </c>
      <c r="F681" t="s">
        <v>2017</v>
      </c>
      <c r="G681" t="s">
        <v>189</v>
      </c>
      <c r="H681" t="s">
        <v>18</v>
      </c>
      <c r="I681" t="s">
        <v>2018</v>
      </c>
      <c r="J681" t="str">
        <f>"9781292042909"</f>
        <v>9781292042909</v>
      </c>
      <c r="K681" t="str">
        <f>"9781292054414"</f>
        <v>9781292054414</v>
      </c>
      <c r="L681" t="s">
        <v>25</v>
      </c>
      <c r="M681" t="s">
        <v>15</v>
      </c>
    </row>
    <row r="682" spans="1:13" x14ac:dyDescent="0.15">
      <c r="A682">
        <v>5138421</v>
      </c>
      <c r="B682" t="s">
        <v>2019</v>
      </c>
      <c r="C682" s="1">
        <v>40725</v>
      </c>
      <c r="D682">
        <v>1</v>
      </c>
      <c r="E682" t="s">
        <v>1433</v>
      </c>
      <c r="F682" t="s">
        <v>2020</v>
      </c>
      <c r="G682" t="s">
        <v>304</v>
      </c>
      <c r="H682" t="s">
        <v>18</v>
      </c>
      <c r="I682" t="s">
        <v>2021</v>
      </c>
      <c r="J682" t="str">
        <f>"9780273737193"</f>
        <v>9780273737193</v>
      </c>
      <c r="K682" t="str">
        <f>"9780273737216"</f>
        <v>9780273737216</v>
      </c>
      <c r="L682" t="s">
        <v>25</v>
      </c>
      <c r="M682" t="s">
        <v>112</v>
      </c>
    </row>
    <row r="683" spans="1:13" x14ac:dyDescent="0.15">
      <c r="A683">
        <v>5138423</v>
      </c>
      <c r="B683" t="s">
        <v>2022</v>
      </c>
      <c r="C683" s="1">
        <v>41513</v>
      </c>
      <c r="D683">
        <v>9</v>
      </c>
      <c r="F683" t="s">
        <v>2023</v>
      </c>
      <c r="G683" t="s">
        <v>408</v>
      </c>
      <c r="H683" t="s">
        <v>18</v>
      </c>
      <c r="I683" t="s">
        <v>2024</v>
      </c>
      <c r="J683" t="str">
        <f>"9781292027951"</f>
        <v>9781292027951</v>
      </c>
      <c r="K683" t="str">
        <f>"9781292054438"</f>
        <v>9781292054438</v>
      </c>
      <c r="L683" t="s">
        <v>25</v>
      </c>
      <c r="M683" t="s">
        <v>15</v>
      </c>
    </row>
    <row r="684" spans="1:13" x14ac:dyDescent="0.15">
      <c r="A684">
        <v>5138424</v>
      </c>
      <c r="B684" t="s">
        <v>2025</v>
      </c>
      <c r="C684" s="1">
        <v>41478</v>
      </c>
      <c r="D684">
        <v>5</v>
      </c>
      <c r="F684" t="s">
        <v>2026</v>
      </c>
      <c r="G684" t="s">
        <v>351</v>
      </c>
      <c r="H684" t="s">
        <v>18</v>
      </c>
      <c r="I684" t="s">
        <v>2027</v>
      </c>
      <c r="J684" t="str">
        <f>"9781292020754"</f>
        <v>9781292020754</v>
      </c>
      <c r="K684" t="str">
        <f>"9781292034003"</f>
        <v>9781292034003</v>
      </c>
      <c r="L684" t="s">
        <v>25</v>
      </c>
      <c r="M684" t="s">
        <v>15</v>
      </c>
    </row>
    <row r="685" spans="1:13" x14ac:dyDescent="0.15">
      <c r="A685">
        <v>5138425</v>
      </c>
      <c r="B685" t="s">
        <v>2028</v>
      </c>
      <c r="C685" s="1">
        <v>41579</v>
      </c>
      <c r="D685">
        <v>7</v>
      </c>
      <c r="F685" t="s">
        <v>2029</v>
      </c>
      <c r="G685" t="s">
        <v>304</v>
      </c>
      <c r="H685" t="s">
        <v>18</v>
      </c>
      <c r="I685" t="s">
        <v>2030</v>
      </c>
      <c r="J685" t="str">
        <f>"9781292041865"</f>
        <v>9781292041865</v>
      </c>
      <c r="K685" t="str">
        <f>"9781292054445"</f>
        <v>9781292054445</v>
      </c>
      <c r="L685" t="s">
        <v>25</v>
      </c>
      <c r="M685" t="s">
        <v>15</v>
      </c>
    </row>
    <row r="686" spans="1:13" x14ac:dyDescent="0.15">
      <c r="A686">
        <v>5138428</v>
      </c>
      <c r="B686" t="s">
        <v>2031</v>
      </c>
      <c r="C686" s="1">
        <v>41455</v>
      </c>
      <c r="D686">
        <v>8</v>
      </c>
      <c r="F686" t="s">
        <v>2032</v>
      </c>
      <c r="G686" t="s">
        <v>189</v>
      </c>
      <c r="H686" t="s">
        <v>18</v>
      </c>
      <c r="I686" t="s">
        <v>2033</v>
      </c>
      <c r="J686" t="str">
        <f>"9781292025001"</f>
        <v>9781292025001</v>
      </c>
      <c r="K686" t="str">
        <f>"9781292037639"</f>
        <v>9781292037639</v>
      </c>
      <c r="L686" t="s">
        <v>25</v>
      </c>
      <c r="M686" t="s">
        <v>15</v>
      </c>
    </row>
    <row r="687" spans="1:13" x14ac:dyDescent="0.15">
      <c r="A687">
        <v>5138430</v>
      </c>
      <c r="B687" t="s">
        <v>2034</v>
      </c>
      <c r="C687" s="1">
        <v>41579</v>
      </c>
      <c r="D687">
        <v>17</v>
      </c>
      <c r="F687" t="s">
        <v>2035</v>
      </c>
      <c r="G687" t="s">
        <v>202</v>
      </c>
      <c r="H687" t="s">
        <v>18</v>
      </c>
      <c r="I687" t="s">
        <v>2036</v>
      </c>
      <c r="J687" t="str">
        <f>"9781292040653"</f>
        <v>9781292040653</v>
      </c>
      <c r="K687" t="str">
        <f>"9781292054452"</f>
        <v>9781292054452</v>
      </c>
      <c r="L687" t="s">
        <v>25</v>
      </c>
      <c r="M687" t="s">
        <v>15</v>
      </c>
    </row>
    <row r="688" spans="1:13" x14ac:dyDescent="0.15">
      <c r="A688">
        <v>5138431</v>
      </c>
      <c r="B688" t="s">
        <v>2034</v>
      </c>
      <c r="C688" s="1">
        <v>41579</v>
      </c>
      <c r="D688">
        <v>17</v>
      </c>
      <c r="F688" t="s">
        <v>2035</v>
      </c>
      <c r="G688" t="s">
        <v>836</v>
      </c>
      <c r="H688" t="s">
        <v>18</v>
      </c>
      <c r="I688" t="s">
        <v>2037</v>
      </c>
      <c r="J688" t="str">
        <f>"9781292040660"</f>
        <v>9781292040660</v>
      </c>
      <c r="K688" t="str">
        <f>"9781292054469"</f>
        <v>9781292054469</v>
      </c>
      <c r="L688" t="s">
        <v>25</v>
      </c>
      <c r="M688" t="s">
        <v>15</v>
      </c>
    </row>
    <row r="689" spans="1:13" x14ac:dyDescent="0.15">
      <c r="A689">
        <v>5138434</v>
      </c>
      <c r="B689" t="s">
        <v>2038</v>
      </c>
      <c r="C689" s="1">
        <v>41579</v>
      </c>
      <c r="D689">
        <v>5</v>
      </c>
      <c r="F689" t="s">
        <v>2039</v>
      </c>
      <c r="G689" t="s">
        <v>27</v>
      </c>
      <c r="H689" t="s">
        <v>18</v>
      </c>
      <c r="I689" t="s">
        <v>2040</v>
      </c>
      <c r="J689" t="str">
        <f>"9781292041872"</f>
        <v>9781292041872</v>
      </c>
      <c r="K689" t="str">
        <f>"9781292054490"</f>
        <v>9781292054490</v>
      </c>
      <c r="L689" t="s">
        <v>25</v>
      </c>
      <c r="M689" t="s">
        <v>15</v>
      </c>
    </row>
    <row r="690" spans="1:13" x14ac:dyDescent="0.15">
      <c r="A690">
        <v>5138439</v>
      </c>
      <c r="B690" t="s">
        <v>2041</v>
      </c>
      <c r="C690" s="1">
        <v>41550</v>
      </c>
      <c r="D690">
        <v>1</v>
      </c>
      <c r="F690" t="s">
        <v>2042</v>
      </c>
      <c r="H690" t="s">
        <v>18</v>
      </c>
      <c r="I690" t="s">
        <v>2043</v>
      </c>
      <c r="J690" t="str">
        <f>"9781292039176"</f>
        <v>9781292039176</v>
      </c>
      <c r="K690" t="str">
        <f>"9781292054506"</f>
        <v>9781292054506</v>
      </c>
      <c r="L690" t="s">
        <v>25</v>
      </c>
      <c r="M690" t="s">
        <v>15</v>
      </c>
    </row>
    <row r="691" spans="1:13" x14ac:dyDescent="0.15">
      <c r="A691">
        <v>5138444</v>
      </c>
      <c r="B691" t="s">
        <v>2044</v>
      </c>
      <c r="C691" s="1">
        <v>41579</v>
      </c>
      <c r="D691">
        <v>10</v>
      </c>
      <c r="F691" t="s">
        <v>2045</v>
      </c>
      <c r="G691" t="s">
        <v>408</v>
      </c>
      <c r="H691" t="s">
        <v>18</v>
      </c>
      <c r="I691" t="s">
        <v>2046</v>
      </c>
      <c r="J691" t="str">
        <f>"9781292039244"</f>
        <v>9781292039244</v>
      </c>
      <c r="K691" t="str">
        <f>"9781292054520"</f>
        <v>9781292054520</v>
      </c>
      <c r="L691" t="s">
        <v>25</v>
      </c>
      <c r="M691" t="s">
        <v>15</v>
      </c>
    </row>
    <row r="692" spans="1:13" x14ac:dyDescent="0.15">
      <c r="A692">
        <v>5138456</v>
      </c>
      <c r="B692" t="s">
        <v>2047</v>
      </c>
      <c r="C692" s="1">
        <v>41513</v>
      </c>
      <c r="D692">
        <v>10</v>
      </c>
      <c r="F692" t="s">
        <v>2048</v>
      </c>
      <c r="H692" t="s">
        <v>18</v>
      </c>
      <c r="I692" t="s">
        <v>2049</v>
      </c>
      <c r="J692" t="str">
        <f>"9781292021881"</f>
        <v>9781292021881</v>
      </c>
      <c r="K692" t="str">
        <f>"9781292035093"</f>
        <v>9781292035093</v>
      </c>
      <c r="L692" t="s">
        <v>25</v>
      </c>
      <c r="M692" t="s">
        <v>15</v>
      </c>
    </row>
    <row r="693" spans="1:13" x14ac:dyDescent="0.15">
      <c r="A693">
        <v>5138457</v>
      </c>
      <c r="B693" t="s">
        <v>2050</v>
      </c>
      <c r="C693" s="1">
        <v>41473</v>
      </c>
      <c r="D693">
        <v>5</v>
      </c>
      <c r="F693" t="s">
        <v>2051</v>
      </c>
      <c r="G693" t="s">
        <v>890</v>
      </c>
      <c r="H693" t="s">
        <v>18</v>
      </c>
      <c r="I693" t="s">
        <v>2052</v>
      </c>
      <c r="J693" t="str">
        <f>"9781292021744"</f>
        <v>9781292021744</v>
      </c>
      <c r="K693" t="str">
        <f>"9781292034966"</f>
        <v>9781292034966</v>
      </c>
      <c r="L693" t="s">
        <v>25</v>
      </c>
      <c r="M693" t="s">
        <v>15</v>
      </c>
    </row>
    <row r="694" spans="1:13" x14ac:dyDescent="0.15">
      <c r="A694">
        <v>5138459</v>
      </c>
      <c r="B694" t="s">
        <v>2053</v>
      </c>
      <c r="C694" s="1">
        <v>41579</v>
      </c>
      <c r="D694">
        <v>10</v>
      </c>
      <c r="F694" t="s">
        <v>2054</v>
      </c>
      <c r="G694" t="s">
        <v>65</v>
      </c>
      <c r="H694" t="s">
        <v>18</v>
      </c>
      <c r="I694" t="s">
        <v>2055</v>
      </c>
      <c r="J694" t="str">
        <f>"9781292039305"</f>
        <v>9781292039305</v>
      </c>
      <c r="K694" t="str">
        <f>"9781292054544"</f>
        <v>9781292054544</v>
      </c>
      <c r="L694" t="s">
        <v>25</v>
      </c>
      <c r="M694" t="s">
        <v>15</v>
      </c>
    </row>
    <row r="695" spans="1:13" x14ac:dyDescent="0.15">
      <c r="A695">
        <v>5138462</v>
      </c>
      <c r="B695" t="s">
        <v>2056</v>
      </c>
      <c r="C695" s="1">
        <v>41473</v>
      </c>
      <c r="D695">
        <v>2</v>
      </c>
      <c r="F695" t="s">
        <v>2057</v>
      </c>
      <c r="G695" t="s">
        <v>622</v>
      </c>
      <c r="H695" t="s">
        <v>18</v>
      </c>
      <c r="I695" t="s">
        <v>2058</v>
      </c>
      <c r="J695" t="str">
        <f>"9781292022383"</f>
        <v>9781292022383</v>
      </c>
      <c r="K695" t="str">
        <f>"9781292035581"</f>
        <v>9781292035581</v>
      </c>
      <c r="L695" t="s">
        <v>25</v>
      </c>
      <c r="M695" t="s">
        <v>15</v>
      </c>
    </row>
    <row r="696" spans="1:13" x14ac:dyDescent="0.15">
      <c r="A696">
        <v>5138465</v>
      </c>
      <c r="B696" t="s">
        <v>2059</v>
      </c>
      <c r="C696" s="1">
        <v>41484</v>
      </c>
      <c r="D696">
        <v>7</v>
      </c>
      <c r="F696" t="s">
        <v>2060</v>
      </c>
      <c r="G696" t="s">
        <v>27</v>
      </c>
      <c r="H696" t="s">
        <v>18</v>
      </c>
      <c r="I696" t="s">
        <v>2061</v>
      </c>
      <c r="J696" t="str">
        <f>"9781292020099"</f>
        <v>9781292020099</v>
      </c>
      <c r="K696" t="str">
        <f>"9781292033587"</f>
        <v>9781292033587</v>
      </c>
      <c r="L696" t="s">
        <v>25</v>
      </c>
      <c r="M696" t="s">
        <v>15</v>
      </c>
    </row>
    <row r="697" spans="1:13" x14ac:dyDescent="0.15">
      <c r="A697">
        <v>5138469</v>
      </c>
      <c r="B697" t="s">
        <v>2062</v>
      </c>
      <c r="C697" s="1">
        <v>41481</v>
      </c>
      <c r="D697">
        <v>2</v>
      </c>
      <c r="F697" t="s">
        <v>2063</v>
      </c>
      <c r="G697" t="s">
        <v>596</v>
      </c>
      <c r="H697" t="s">
        <v>18</v>
      </c>
      <c r="I697" t="s">
        <v>2064</v>
      </c>
      <c r="J697" t="str">
        <f>"9781292026381"</f>
        <v>9781292026381</v>
      </c>
      <c r="K697" t="str">
        <f>"9781292038773"</f>
        <v>9781292038773</v>
      </c>
      <c r="L697" t="s">
        <v>25</v>
      </c>
      <c r="M697" t="s">
        <v>15</v>
      </c>
    </row>
    <row r="698" spans="1:13" x14ac:dyDescent="0.15">
      <c r="A698">
        <v>5138472</v>
      </c>
      <c r="B698" t="s">
        <v>2065</v>
      </c>
      <c r="C698" s="1">
        <v>41334</v>
      </c>
      <c r="D698">
        <v>5</v>
      </c>
      <c r="F698" t="s">
        <v>2066</v>
      </c>
      <c r="G698" t="s">
        <v>2067</v>
      </c>
      <c r="H698" t="s">
        <v>18</v>
      </c>
      <c r="I698" t="s">
        <v>2068</v>
      </c>
      <c r="J698" t="str">
        <f>"9780273758372"</f>
        <v>9780273758372</v>
      </c>
      <c r="K698" t="str">
        <f>"9780273758419"</f>
        <v>9780273758419</v>
      </c>
      <c r="L698" t="s">
        <v>25</v>
      </c>
      <c r="M698" t="s">
        <v>15</v>
      </c>
    </row>
    <row r="699" spans="1:13" x14ac:dyDescent="0.15">
      <c r="A699">
        <v>5138474</v>
      </c>
      <c r="B699" t="s">
        <v>2069</v>
      </c>
      <c r="C699" s="1">
        <v>41479</v>
      </c>
      <c r="D699">
        <v>2</v>
      </c>
      <c r="F699" t="s">
        <v>2070</v>
      </c>
      <c r="G699" t="s">
        <v>189</v>
      </c>
      <c r="H699" t="s">
        <v>18</v>
      </c>
      <c r="I699" t="s">
        <v>2071</v>
      </c>
      <c r="J699" t="str">
        <f>"9781292023625"</f>
        <v>9781292023625</v>
      </c>
      <c r="K699" t="str">
        <f>"9781292036786"</f>
        <v>9781292036786</v>
      </c>
      <c r="L699" t="s">
        <v>25</v>
      </c>
      <c r="M699" t="s">
        <v>15</v>
      </c>
    </row>
    <row r="700" spans="1:13" x14ac:dyDescent="0.15">
      <c r="A700">
        <v>5138475</v>
      </c>
      <c r="B700" t="s">
        <v>2072</v>
      </c>
      <c r="C700" s="1">
        <v>41492</v>
      </c>
      <c r="D700">
        <v>10</v>
      </c>
      <c r="F700" t="s">
        <v>2073</v>
      </c>
      <c r="G700" t="s">
        <v>36</v>
      </c>
      <c r="H700" t="s">
        <v>18</v>
      </c>
      <c r="I700" t="s">
        <v>2074</v>
      </c>
      <c r="J700" t="str">
        <f>"9781292021751"</f>
        <v>9781292021751</v>
      </c>
      <c r="K700" t="str">
        <f>"9781292034973"</f>
        <v>9781292034973</v>
      </c>
      <c r="L700" t="s">
        <v>25</v>
      </c>
      <c r="M700" t="s">
        <v>15</v>
      </c>
    </row>
    <row r="701" spans="1:13" x14ac:dyDescent="0.15">
      <c r="A701">
        <v>5138485</v>
      </c>
      <c r="B701" t="s">
        <v>2075</v>
      </c>
      <c r="C701" s="1">
        <v>41472</v>
      </c>
      <c r="D701">
        <v>8</v>
      </c>
      <c r="F701" t="s">
        <v>2076</v>
      </c>
      <c r="G701" t="s">
        <v>189</v>
      </c>
      <c r="H701" t="s">
        <v>18</v>
      </c>
      <c r="I701" t="s">
        <v>2077</v>
      </c>
      <c r="J701" t="str">
        <f>"9781292023823"</f>
        <v>9781292023823</v>
      </c>
      <c r="K701" t="str">
        <f>"9781292036953"</f>
        <v>9781292036953</v>
      </c>
      <c r="L701" t="s">
        <v>25</v>
      </c>
      <c r="M701" t="s">
        <v>15</v>
      </c>
    </row>
    <row r="702" spans="1:13" x14ac:dyDescent="0.15">
      <c r="A702">
        <v>5138489</v>
      </c>
      <c r="B702" t="s">
        <v>2078</v>
      </c>
      <c r="C702" s="1">
        <v>40695</v>
      </c>
      <c r="D702">
        <v>4</v>
      </c>
      <c r="F702" t="s">
        <v>2079</v>
      </c>
      <c r="G702" t="s">
        <v>117</v>
      </c>
      <c r="H702" t="s">
        <v>18</v>
      </c>
      <c r="I702" t="s">
        <v>2080</v>
      </c>
      <c r="J702" t="str">
        <f>"9781408225417"</f>
        <v>9781408225417</v>
      </c>
      <c r="K702" t="str">
        <f>"9781408225448"</f>
        <v>9781408225448</v>
      </c>
      <c r="L702" t="s">
        <v>25</v>
      </c>
      <c r="M702" t="s">
        <v>147</v>
      </c>
    </row>
    <row r="703" spans="1:13" x14ac:dyDescent="0.15">
      <c r="A703">
        <v>5138491</v>
      </c>
      <c r="B703" t="s">
        <v>2081</v>
      </c>
      <c r="C703" s="1">
        <v>40682</v>
      </c>
      <c r="D703">
        <v>3</v>
      </c>
      <c r="F703" t="s">
        <v>2082</v>
      </c>
      <c r="G703" t="s">
        <v>478</v>
      </c>
      <c r="H703" t="s">
        <v>18</v>
      </c>
      <c r="I703" t="s">
        <v>2083</v>
      </c>
      <c r="J703" t="str">
        <f>"9781408225745"</f>
        <v>9781408225745</v>
      </c>
      <c r="K703" t="str">
        <f>"9781408225752"</f>
        <v>9781408225752</v>
      </c>
      <c r="L703" t="s">
        <v>25</v>
      </c>
      <c r="M703" t="s">
        <v>294</v>
      </c>
    </row>
    <row r="704" spans="1:13" x14ac:dyDescent="0.15">
      <c r="A704">
        <v>5138492</v>
      </c>
      <c r="B704" t="s">
        <v>2084</v>
      </c>
      <c r="C704" s="1">
        <v>41579</v>
      </c>
      <c r="D704">
        <v>7</v>
      </c>
      <c r="F704" t="s">
        <v>2085</v>
      </c>
      <c r="G704" t="s">
        <v>1120</v>
      </c>
      <c r="H704" t="s">
        <v>18</v>
      </c>
      <c r="I704" t="s">
        <v>2086</v>
      </c>
      <c r="J704" t="str">
        <f>"9781292027685"</f>
        <v>9781292027685</v>
      </c>
      <c r="K704" t="str">
        <f>"9781292054599"</f>
        <v>9781292054599</v>
      </c>
      <c r="L704" t="s">
        <v>25</v>
      </c>
      <c r="M704" t="s">
        <v>15</v>
      </c>
    </row>
    <row r="705" spans="1:13" x14ac:dyDescent="0.15">
      <c r="A705">
        <v>5138493</v>
      </c>
      <c r="B705" t="s">
        <v>2087</v>
      </c>
      <c r="C705" s="1">
        <v>41478</v>
      </c>
      <c r="D705">
        <v>3</v>
      </c>
      <c r="F705" t="s">
        <v>2088</v>
      </c>
      <c r="G705" t="s">
        <v>189</v>
      </c>
      <c r="H705" t="s">
        <v>18</v>
      </c>
      <c r="I705" t="s">
        <v>2089</v>
      </c>
      <c r="J705" t="str">
        <f>"9781292022260"</f>
        <v>9781292022260</v>
      </c>
      <c r="K705" t="str">
        <f>"9781292035468"</f>
        <v>9781292035468</v>
      </c>
      <c r="L705" t="s">
        <v>25</v>
      </c>
      <c r="M705" t="s">
        <v>15</v>
      </c>
    </row>
    <row r="706" spans="1:13" x14ac:dyDescent="0.15">
      <c r="A706">
        <v>5138494</v>
      </c>
      <c r="B706" t="s">
        <v>2090</v>
      </c>
      <c r="C706" s="1">
        <v>41471</v>
      </c>
      <c r="D706">
        <v>3</v>
      </c>
      <c r="F706" t="s">
        <v>2091</v>
      </c>
      <c r="G706" t="s">
        <v>304</v>
      </c>
      <c r="H706" t="s">
        <v>18</v>
      </c>
      <c r="I706" t="s">
        <v>2092</v>
      </c>
      <c r="J706" t="str">
        <f>"9781292020341"</f>
        <v>9781292020341</v>
      </c>
      <c r="K706" t="str">
        <f>"9781292033679"</f>
        <v>9781292033679</v>
      </c>
      <c r="L706" t="s">
        <v>25</v>
      </c>
      <c r="M706" t="s">
        <v>15</v>
      </c>
    </row>
    <row r="707" spans="1:13" x14ac:dyDescent="0.15">
      <c r="A707">
        <v>5138496</v>
      </c>
      <c r="B707" t="s">
        <v>2093</v>
      </c>
      <c r="C707" s="1">
        <v>41499</v>
      </c>
      <c r="D707">
        <v>1</v>
      </c>
      <c r="F707" t="s">
        <v>2094</v>
      </c>
      <c r="G707" t="s">
        <v>304</v>
      </c>
      <c r="H707" t="s">
        <v>18</v>
      </c>
      <c r="I707" t="s">
        <v>2095</v>
      </c>
      <c r="J707" t="str">
        <f>"9781292020280"</f>
        <v>9781292020280</v>
      </c>
      <c r="K707" t="str">
        <f>"9781292033648"</f>
        <v>9781292033648</v>
      </c>
      <c r="L707" t="s">
        <v>25</v>
      </c>
      <c r="M707" t="s">
        <v>15</v>
      </c>
    </row>
    <row r="708" spans="1:13" x14ac:dyDescent="0.15">
      <c r="A708">
        <v>5138510</v>
      </c>
      <c r="B708" t="s">
        <v>2096</v>
      </c>
      <c r="C708" s="1">
        <v>41579</v>
      </c>
      <c r="D708">
        <v>8</v>
      </c>
      <c r="F708" t="s">
        <v>2097</v>
      </c>
      <c r="G708" t="s">
        <v>17</v>
      </c>
      <c r="H708" t="s">
        <v>18</v>
      </c>
      <c r="I708" t="s">
        <v>2098</v>
      </c>
      <c r="J708" t="str">
        <f>"9781292039350"</f>
        <v>9781292039350</v>
      </c>
      <c r="K708" t="str">
        <f>"9781292054667"</f>
        <v>9781292054667</v>
      </c>
      <c r="L708" t="s">
        <v>25</v>
      </c>
      <c r="M708" t="s">
        <v>15</v>
      </c>
    </row>
    <row r="709" spans="1:13" x14ac:dyDescent="0.15">
      <c r="A709">
        <v>5138511</v>
      </c>
      <c r="B709" t="s">
        <v>2099</v>
      </c>
      <c r="C709" s="1">
        <v>41480</v>
      </c>
      <c r="D709">
        <v>9</v>
      </c>
      <c r="F709" t="s">
        <v>2100</v>
      </c>
      <c r="G709" t="s">
        <v>1286</v>
      </c>
      <c r="H709" t="s">
        <v>18</v>
      </c>
      <c r="I709" t="s">
        <v>2101</v>
      </c>
      <c r="J709" t="str">
        <f>"9781292023182"</f>
        <v>9781292023182</v>
      </c>
      <c r="K709" t="str">
        <f>"9781292036366"</f>
        <v>9781292036366</v>
      </c>
      <c r="L709" t="s">
        <v>25</v>
      </c>
      <c r="M709" t="s">
        <v>15</v>
      </c>
    </row>
    <row r="710" spans="1:13" x14ac:dyDescent="0.15">
      <c r="A710">
        <v>5138521</v>
      </c>
      <c r="B710" t="s">
        <v>2102</v>
      </c>
      <c r="C710" s="1">
        <v>41479</v>
      </c>
      <c r="D710">
        <v>4</v>
      </c>
      <c r="F710" t="s">
        <v>2103</v>
      </c>
      <c r="G710" t="s">
        <v>1385</v>
      </c>
      <c r="H710" t="s">
        <v>18</v>
      </c>
      <c r="I710" t="s">
        <v>2104</v>
      </c>
      <c r="J710" t="str">
        <f>"9781292026084"</f>
        <v>9781292026084</v>
      </c>
      <c r="K710" t="str">
        <f>"9781292038490"</f>
        <v>9781292038490</v>
      </c>
      <c r="L710" t="s">
        <v>25</v>
      </c>
      <c r="M710" t="s">
        <v>15</v>
      </c>
    </row>
    <row r="711" spans="1:13" x14ac:dyDescent="0.15">
      <c r="A711">
        <v>5138529</v>
      </c>
      <c r="B711" t="s">
        <v>2105</v>
      </c>
      <c r="C711" s="1">
        <v>41479</v>
      </c>
      <c r="D711">
        <v>3</v>
      </c>
      <c r="F711" t="s">
        <v>703</v>
      </c>
      <c r="G711" t="s">
        <v>27</v>
      </c>
      <c r="H711" t="s">
        <v>18</v>
      </c>
      <c r="I711" t="s">
        <v>2106</v>
      </c>
      <c r="J711" t="str">
        <f>"9781292026206"</f>
        <v>9781292026206</v>
      </c>
      <c r="K711" t="str">
        <f>"9781292038605"</f>
        <v>9781292038605</v>
      </c>
      <c r="L711" t="s">
        <v>25</v>
      </c>
      <c r="M711" t="s">
        <v>15</v>
      </c>
    </row>
    <row r="712" spans="1:13" x14ac:dyDescent="0.15">
      <c r="A712">
        <v>5138533</v>
      </c>
      <c r="B712" t="s">
        <v>2107</v>
      </c>
      <c r="C712" s="1">
        <v>41513</v>
      </c>
      <c r="D712">
        <v>6</v>
      </c>
      <c r="F712" t="s">
        <v>2108</v>
      </c>
      <c r="H712" t="s">
        <v>18</v>
      </c>
      <c r="I712" t="s">
        <v>2109</v>
      </c>
      <c r="J712" t="str">
        <f>"9781292021942"</f>
        <v>9781292021942</v>
      </c>
      <c r="K712" t="str">
        <f>"9781292035154"</f>
        <v>9781292035154</v>
      </c>
      <c r="L712" t="s">
        <v>25</v>
      </c>
      <c r="M712" t="s">
        <v>15</v>
      </c>
    </row>
    <row r="713" spans="1:13" x14ac:dyDescent="0.15">
      <c r="A713">
        <v>5138537</v>
      </c>
      <c r="B713" t="s">
        <v>2110</v>
      </c>
      <c r="C713" s="1">
        <v>41492</v>
      </c>
      <c r="D713">
        <v>7</v>
      </c>
      <c r="F713" t="s">
        <v>2111</v>
      </c>
      <c r="G713" t="s">
        <v>27</v>
      </c>
      <c r="H713" t="s">
        <v>18</v>
      </c>
      <c r="I713" t="s">
        <v>2112</v>
      </c>
      <c r="J713" t="str">
        <f>"9781292025124"</f>
        <v>9781292025124</v>
      </c>
      <c r="K713" t="str">
        <f>"9781292037714"</f>
        <v>9781292037714</v>
      </c>
      <c r="L713" t="s">
        <v>25</v>
      </c>
      <c r="M713" t="s">
        <v>15</v>
      </c>
    </row>
    <row r="714" spans="1:13" x14ac:dyDescent="0.15">
      <c r="A714">
        <v>5138551</v>
      </c>
      <c r="B714" t="s">
        <v>2113</v>
      </c>
      <c r="C714" s="1">
        <v>41579</v>
      </c>
      <c r="D714">
        <v>14</v>
      </c>
      <c r="F714" t="s">
        <v>2114</v>
      </c>
      <c r="G714" t="s">
        <v>27</v>
      </c>
      <c r="H714" t="s">
        <v>18</v>
      </c>
      <c r="I714" t="s">
        <v>2115</v>
      </c>
      <c r="J714" t="str">
        <f>"9781292041339"</f>
        <v>9781292041339</v>
      </c>
      <c r="K714" t="str">
        <f>"9781292054780"</f>
        <v>9781292054780</v>
      </c>
      <c r="L714" t="s">
        <v>25</v>
      </c>
      <c r="M714" t="s">
        <v>15</v>
      </c>
    </row>
    <row r="715" spans="1:13" x14ac:dyDescent="0.15">
      <c r="A715">
        <v>5138556</v>
      </c>
      <c r="B715" t="s">
        <v>2116</v>
      </c>
      <c r="C715" s="1">
        <v>41579</v>
      </c>
      <c r="D715">
        <v>4</v>
      </c>
      <c r="F715" t="s">
        <v>2117</v>
      </c>
      <c r="G715" t="s">
        <v>304</v>
      </c>
      <c r="H715" t="s">
        <v>18</v>
      </c>
      <c r="I715" t="s">
        <v>2118</v>
      </c>
      <c r="J715" t="str">
        <f>"9781292041278"</f>
        <v>9781292041278</v>
      </c>
      <c r="K715" t="str">
        <f>"9781292054797"</f>
        <v>9781292054797</v>
      </c>
      <c r="L715" t="s">
        <v>25</v>
      </c>
      <c r="M715" t="s">
        <v>15</v>
      </c>
    </row>
    <row r="716" spans="1:13" x14ac:dyDescent="0.15">
      <c r="A716">
        <v>5138557</v>
      </c>
      <c r="B716" t="s">
        <v>2119</v>
      </c>
      <c r="C716" s="1">
        <v>41579</v>
      </c>
      <c r="D716">
        <v>10</v>
      </c>
      <c r="F716" t="s">
        <v>2117</v>
      </c>
      <c r="G716" t="s">
        <v>304</v>
      </c>
      <c r="H716" t="s">
        <v>18</v>
      </c>
      <c r="I716" t="s">
        <v>2120</v>
      </c>
      <c r="J716" t="str">
        <f>"9781292042114"</f>
        <v>9781292042114</v>
      </c>
      <c r="K716" t="str">
        <f>"9781292056210"</f>
        <v>9781292056210</v>
      </c>
      <c r="L716" t="s">
        <v>25</v>
      </c>
      <c r="M716" t="s">
        <v>15</v>
      </c>
    </row>
    <row r="717" spans="1:13" x14ac:dyDescent="0.15">
      <c r="A717">
        <v>5138559</v>
      </c>
      <c r="B717" t="s">
        <v>2121</v>
      </c>
      <c r="C717" s="1">
        <v>41579</v>
      </c>
      <c r="D717">
        <v>3</v>
      </c>
      <c r="F717" t="s">
        <v>2122</v>
      </c>
      <c r="G717" t="s">
        <v>27</v>
      </c>
      <c r="H717" t="s">
        <v>18</v>
      </c>
      <c r="I717" t="s">
        <v>2123</v>
      </c>
      <c r="J717" t="str">
        <f>"9781292027142"</f>
        <v>9781292027142</v>
      </c>
      <c r="K717" t="str">
        <f>"9781292054803"</f>
        <v>9781292054803</v>
      </c>
      <c r="L717" t="s">
        <v>25</v>
      </c>
      <c r="M717" t="s">
        <v>15</v>
      </c>
    </row>
    <row r="718" spans="1:13" x14ac:dyDescent="0.15">
      <c r="A718">
        <v>5138565</v>
      </c>
      <c r="B718" t="s">
        <v>2124</v>
      </c>
      <c r="C718" s="1">
        <v>41473</v>
      </c>
      <c r="D718">
        <v>3</v>
      </c>
      <c r="F718" t="s">
        <v>2125</v>
      </c>
      <c r="G718" t="s">
        <v>1530</v>
      </c>
      <c r="H718" t="s">
        <v>18</v>
      </c>
      <c r="I718" t="s">
        <v>2126</v>
      </c>
      <c r="J718" t="str">
        <f>"9781292022567"</f>
        <v>9781292022567</v>
      </c>
      <c r="K718" t="str">
        <f>"9781292035765"</f>
        <v>9781292035765</v>
      </c>
      <c r="L718" t="s">
        <v>25</v>
      </c>
      <c r="M718" t="s">
        <v>15</v>
      </c>
    </row>
    <row r="719" spans="1:13" x14ac:dyDescent="0.15">
      <c r="A719">
        <v>5138571</v>
      </c>
      <c r="B719" t="s">
        <v>2127</v>
      </c>
      <c r="C719" s="1">
        <v>41512</v>
      </c>
      <c r="D719">
        <v>3</v>
      </c>
      <c r="F719" t="s">
        <v>2128</v>
      </c>
      <c r="G719" t="s">
        <v>351</v>
      </c>
      <c r="H719" t="s">
        <v>18</v>
      </c>
      <c r="I719" t="s">
        <v>2129</v>
      </c>
      <c r="J719" t="str">
        <f>"9781292039114"</f>
        <v>9781292039114</v>
      </c>
      <c r="K719" t="str">
        <f>"9781292054841"</f>
        <v>9781292054841</v>
      </c>
      <c r="L719" t="s">
        <v>25</v>
      </c>
      <c r="M719" t="s">
        <v>15</v>
      </c>
    </row>
    <row r="720" spans="1:13" x14ac:dyDescent="0.15">
      <c r="A720">
        <v>5138572</v>
      </c>
      <c r="B720" t="s">
        <v>2130</v>
      </c>
      <c r="C720" s="1">
        <v>41584</v>
      </c>
      <c r="D720">
        <v>3</v>
      </c>
      <c r="F720" t="s">
        <v>2131</v>
      </c>
      <c r="H720" t="s">
        <v>18</v>
      </c>
      <c r="I720" t="s">
        <v>2132</v>
      </c>
      <c r="J720" t="str">
        <f>""</f>
        <v/>
      </c>
      <c r="K720" t="str">
        <f>"9780273790907"</f>
        <v>9780273790907</v>
      </c>
      <c r="L720" t="s">
        <v>25</v>
      </c>
      <c r="M720" t="s">
        <v>15</v>
      </c>
    </row>
    <row r="721" spans="1:13" x14ac:dyDescent="0.15">
      <c r="A721">
        <v>5138577</v>
      </c>
      <c r="B721" t="s">
        <v>2133</v>
      </c>
      <c r="C721" s="1">
        <v>41579</v>
      </c>
      <c r="D721">
        <v>3</v>
      </c>
      <c r="F721" t="s">
        <v>2134</v>
      </c>
      <c r="G721" t="s">
        <v>17</v>
      </c>
      <c r="H721" t="s">
        <v>18</v>
      </c>
      <c r="I721" t="s">
        <v>2135</v>
      </c>
      <c r="J721" t="str">
        <f>"9781292027289"</f>
        <v>9781292027289</v>
      </c>
      <c r="K721" t="str">
        <f>"9781292054872"</f>
        <v>9781292054872</v>
      </c>
      <c r="L721" t="s">
        <v>25</v>
      </c>
      <c r="M721" t="s">
        <v>15</v>
      </c>
    </row>
    <row r="722" spans="1:13" x14ac:dyDescent="0.15">
      <c r="A722">
        <v>5138579</v>
      </c>
      <c r="B722" t="s">
        <v>2136</v>
      </c>
      <c r="C722" s="1">
        <v>41515</v>
      </c>
      <c r="D722">
        <v>4</v>
      </c>
      <c r="F722" t="s">
        <v>2137</v>
      </c>
      <c r="H722" t="s">
        <v>18</v>
      </c>
      <c r="I722" t="s">
        <v>2138</v>
      </c>
      <c r="J722" t="str">
        <f>"9781292025278"</f>
        <v>9781292025278</v>
      </c>
      <c r="K722" t="str">
        <f>"9781292037837"</f>
        <v>9781292037837</v>
      </c>
      <c r="L722" t="s">
        <v>25</v>
      </c>
      <c r="M722" t="s">
        <v>15</v>
      </c>
    </row>
    <row r="723" spans="1:13" x14ac:dyDescent="0.15">
      <c r="A723">
        <v>5138583</v>
      </c>
      <c r="B723" t="s">
        <v>2139</v>
      </c>
      <c r="C723" s="1">
        <v>40143</v>
      </c>
      <c r="D723">
        <v>4</v>
      </c>
      <c r="F723" t="s">
        <v>2140</v>
      </c>
      <c r="G723" t="s">
        <v>2141</v>
      </c>
      <c r="H723" t="s">
        <v>18</v>
      </c>
      <c r="I723" t="s">
        <v>2142</v>
      </c>
      <c r="J723" t="str">
        <f>"9780273730989"</f>
        <v>9780273730989</v>
      </c>
      <c r="K723" t="str">
        <f>"9780273730996"</f>
        <v>9780273730996</v>
      </c>
      <c r="L723" t="s">
        <v>25</v>
      </c>
      <c r="M723" t="s">
        <v>112</v>
      </c>
    </row>
    <row r="724" spans="1:13" x14ac:dyDescent="0.15">
      <c r="A724">
        <v>5138586</v>
      </c>
      <c r="B724" t="s">
        <v>2143</v>
      </c>
      <c r="C724" s="1">
        <v>40276</v>
      </c>
      <c r="D724">
        <v>4</v>
      </c>
      <c r="F724" t="s">
        <v>2144</v>
      </c>
      <c r="G724" t="s">
        <v>36</v>
      </c>
      <c r="H724" t="s">
        <v>18</v>
      </c>
      <c r="I724" t="s">
        <v>2145</v>
      </c>
      <c r="J724" t="str">
        <f>"9780273719540"</f>
        <v>9780273719540</v>
      </c>
      <c r="K724" t="str">
        <f>"9781405899833"</f>
        <v>9781405899833</v>
      </c>
      <c r="L724" t="s">
        <v>25</v>
      </c>
      <c r="M724" t="s">
        <v>39</v>
      </c>
    </row>
    <row r="725" spans="1:13" x14ac:dyDescent="0.15">
      <c r="A725">
        <v>5138591</v>
      </c>
      <c r="B725" t="s">
        <v>2146</v>
      </c>
      <c r="C725" s="1">
        <v>41515</v>
      </c>
      <c r="D725">
        <v>4</v>
      </c>
      <c r="F725" t="s">
        <v>2147</v>
      </c>
      <c r="H725" t="s">
        <v>18</v>
      </c>
      <c r="I725" t="s">
        <v>2148</v>
      </c>
      <c r="J725" t="str">
        <f>"9781292023748"</f>
        <v>9781292023748</v>
      </c>
      <c r="K725" t="str">
        <f>"9781292036878"</f>
        <v>9781292036878</v>
      </c>
      <c r="L725" t="s">
        <v>25</v>
      </c>
      <c r="M725" t="s">
        <v>15</v>
      </c>
    </row>
    <row r="726" spans="1:13" x14ac:dyDescent="0.15">
      <c r="A726">
        <v>5138592</v>
      </c>
      <c r="B726" t="s">
        <v>2149</v>
      </c>
      <c r="C726" s="1">
        <v>41579</v>
      </c>
      <c r="D726">
        <v>3</v>
      </c>
      <c r="F726" t="s">
        <v>2150</v>
      </c>
      <c r="G726" t="s">
        <v>27</v>
      </c>
      <c r="H726" t="s">
        <v>18</v>
      </c>
      <c r="I726" t="s">
        <v>2151</v>
      </c>
      <c r="J726" t="str">
        <f>"9781292040882"</f>
        <v>9781292040882</v>
      </c>
      <c r="K726" t="str">
        <f>"9781292054919"</f>
        <v>9781292054919</v>
      </c>
      <c r="L726" t="s">
        <v>25</v>
      </c>
      <c r="M726" t="s">
        <v>15</v>
      </c>
    </row>
    <row r="727" spans="1:13" x14ac:dyDescent="0.15">
      <c r="A727">
        <v>5138604</v>
      </c>
      <c r="B727" t="s">
        <v>2152</v>
      </c>
      <c r="C727" s="1">
        <v>41484</v>
      </c>
      <c r="D727">
        <v>3</v>
      </c>
      <c r="F727" t="s">
        <v>2153</v>
      </c>
      <c r="G727" t="s">
        <v>408</v>
      </c>
      <c r="H727" t="s">
        <v>18</v>
      </c>
      <c r="I727" t="s">
        <v>2154</v>
      </c>
      <c r="J727" t="str">
        <f>"9781292020365"</f>
        <v>9781292020365</v>
      </c>
      <c r="K727" t="str">
        <f>"9781292033686"</f>
        <v>9781292033686</v>
      </c>
      <c r="L727" t="s">
        <v>25</v>
      </c>
      <c r="M727" t="s">
        <v>15</v>
      </c>
    </row>
    <row r="728" spans="1:13" x14ac:dyDescent="0.15">
      <c r="A728">
        <v>5138606</v>
      </c>
      <c r="B728" t="s">
        <v>2155</v>
      </c>
      <c r="C728" s="1">
        <v>40909</v>
      </c>
      <c r="D728">
        <v>1</v>
      </c>
      <c r="F728" t="s">
        <v>2156</v>
      </c>
      <c r="G728" t="s">
        <v>2157</v>
      </c>
      <c r="H728" t="s">
        <v>18</v>
      </c>
      <c r="I728" t="s">
        <v>2158</v>
      </c>
      <c r="J728" t="str">
        <f>"9780273737223"</f>
        <v>9780273737223</v>
      </c>
      <c r="K728" t="str">
        <f>"9780273737247"</f>
        <v>9780273737247</v>
      </c>
      <c r="L728" t="s">
        <v>25</v>
      </c>
      <c r="M728" t="s">
        <v>112</v>
      </c>
    </row>
    <row r="729" spans="1:13" x14ac:dyDescent="0.15">
      <c r="A729">
        <v>5138612</v>
      </c>
      <c r="B729" t="s">
        <v>2159</v>
      </c>
      <c r="C729" s="1">
        <v>41000</v>
      </c>
      <c r="D729">
        <v>4</v>
      </c>
      <c r="F729" t="s">
        <v>2160</v>
      </c>
      <c r="G729" t="s">
        <v>36</v>
      </c>
      <c r="H729" t="s">
        <v>18</v>
      </c>
      <c r="I729" t="s">
        <v>2161</v>
      </c>
      <c r="J729" t="str">
        <f>"9780273764489"</f>
        <v>9780273764489</v>
      </c>
      <c r="K729" t="str">
        <f>"9780273765028"</f>
        <v>9780273765028</v>
      </c>
      <c r="L729" t="s">
        <v>25</v>
      </c>
      <c r="M729" t="s">
        <v>15</v>
      </c>
    </row>
    <row r="730" spans="1:13" x14ac:dyDescent="0.15">
      <c r="A730">
        <v>5138615</v>
      </c>
      <c r="B730" t="s">
        <v>2162</v>
      </c>
      <c r="C730" s="1">
        <v>41579</v>
      </c>
      <c r="D730">
        <v>2</v>
      </c>
      <c r="F730" t="s">
        <v>2163</v>
      </c>
      <c r="G730" t="s">
        <v>1385</v>
      </c>
      <c r="H730" t="s">
        <v>18</v>
      </c>
      <c r="I730" t="s">
        <v>2164</v>
      </c>
      <c r="J730" t="str">
        <f>"9781292027296"</f>
        <v>9781292027296</v>
      </c>
      <c r="K730" t="str">
        <f>"9781292054971"</f>
        <v>9781292054971</v>
      </c>
      <c r="L730" t="s">
        <v>25</v>
      </c>
      <c r="M730" t="s">
        <v>15</v>
      </c>
    </row>
    <row r="731" spans="1:13" x14ac:dyDescent="0.15">
      <c r="A731">
        <v>5138616</v>
      </c>
      <c r="B731" t="s">
        <v>2165</v>
      </c>
      <c r="C731" s="1">
        <v>41424</v>
      </c>
      <c r="D731">
        <v>5</v>
      </c>
      <c r="F731" t="s">
        <v>2166</v>
      </c>
      <c r="G731" t="s">
        <v>304</v>
      </c>
      <c r="H731" t="s">
        <v>18</v>
      </c>
      <c r="I731" t="s">
        <v>2167</v>
      </c>
      <c r="J731" t="str">
        <f>"9781408269541"</f>
        <v>9781408269541</v>
      </c>
      <c r="K731" t="str">
        <f>"9781408269565"</f>
        <v>9781408269565</v>
      </c>
      <c r="L731" t="s">
        <v>25</v>
      </c>
      <c r="M731" t="s">
        <v>15</v>
      </c>
    </row>
    <row r="732" spans="1:13" x14ac:dyDescent="0.15">
      <c r="A732">
        <v>5138617</v>
      </c>
      <c r="B732" t="s">
        <v>2168</v>
      </c>
      <c r="C732" s="1">
        <v>41515</v>
      </c>
      <c r="D732">
        <v>2</v>
      </c>
      <c r="F732" t="s">
        <v>2169</v>
      </c>
      <c r="H732" t="s">
        <v>18</v>
      </c>
      <c r="I732" t="s">
        <v>2170</v>
      </c>
      <c r="J732" t="str">
        <f>"9781292025933"</f>
        <v>9781292025933</v>
      </c>
      <c r="K732" t="str">
        <f>"9781292038353"</f>
        <v>9781292038353</v>
      </c>
      <c r="L732" t="s">
        <v>25</v>
      </c>
      <c r="M732" t="s">
        <v>15</v>
      </c>
    </row>
    <row r="733" spans="1:13" x14ac:dyDescent="0.15">
      <c r="A733">
        <v>5138618</v>
      </c>
      <c r="B733" t="s">
        <v>2171</v>
      </c>
      <c r="C733" s="1">
        <v>39580</v>
      </c>
      <c r="D733">
        <v>1</v>
      </c>
      <c r="F733" t="s">
        <v>2172</v>
      </c>
      <c r="G733" t="s">
        <v>65</v>
      </c>
      <c r="H733" t="s">
        <v>18</v>
      </c>
      <c r="I733" t="s">
        <v>2173</v>
      </c>
      <c r="J733" t="str">
        <f>"9780131298101"</f>
        <v>9780131298101</v>
      </c>
      <c r="K733" t="str">
        <f>"9780273732600"</f>
        <v>9780273732600</v>
      </c>
      <c r="L733" t="s">
        <v>25</v>
      </c>
      <c r="M733" t="s">
        <v>112</v>
      </c>
    </row>
    <row r="734" spans="1:13" x14ac:dyDescent="0.15">
      <c r="A734">
        <v>5138619</v>
      </c>
      <c r="B734" t="s">
        <v>2174</v>
      </c>
      <c r="C734" s="1">
        <v>40969</v>
      </c>
      <c r="D734">
        <v>1</v>
      </c>
      <c r="F734" t="s">
        <v>750</v>
      </c>
      <c r="G734" t="s">
        <v>117</v>
      </c>
      <c r="H734" t="s">
        <v>18</v>
      </c>
      <c r="I734" t="s">
        <v>2175</v>
      </c>
      <c r="J734" t="str">
        <f>"9781408222652"</f>
        <v>9781408222652</v>
      </c>
      <c r="K734" t="str">
        <f>"9781408222676"</f>
        <v>9781408222676</v>
      </c>
      <c r="L734" t="s">
        <v>25</v>
      </c>
      <c r="M734" t="s">
        <v>15</v>
      </c>
    </row>
    <row r="735" spans="1:13" x14ac:dyDescent="0.15">
      <c r="A735">
        <v>5138627</v>
      </c>
      <c r="B735" t="s">
        <v>420</v>
      </c>
      <c r="C735" s="1">
        <v>41513</v>
      </c>
      <c r="D735">
        <v>2</v>
      </c>
      <c r="F735" t="s">
        <v>224</v>
      </c>
      <c r="H735" t="s">
        <v>18</v>
      </c>
      <c r="I735" t="s">
        <v>2176</v>
      </c>
      <c r="J735" t="str">
        <f>"9781292021935"</f>
        <v>9781292021935</v>
      </c>
      <c r="K735" t="str">
        <f>"9781292035147"</f>
        <v>9781292035147</v>
      </c>
      <c r="L735" t="s">
        <v>25</v>
      </c>
      <c r="M735" t="s">
        <v>15</v>
      </c>
    </row>
    <row r="736" spans="1:13" x14ac:dyDescent="0.15">
      <c r="A736">
        <v>5138629</v>
      </c>
      <c r="B736" t="s">
        <v>2177</v>
      </c>
      <c r="C736" s="1">
        <v>41579</v>
      </c>
      <c r="D736">
        <v>4</v>
      </c>
      <c r="F736" t="s">
        <v>2178</v>
      </c>
      <c r="G736" t="s">
        <v>27</v>
      </c>
      <c r="H736" t="s">
        <v>18</v>
      </c>
      <c r="I736" t="s">
        <v>2179</v>
      </c>
      <c r="J736" t="str">
        <f>"9781292041360"</f>
        <v>9781292041360</v>
      </c>
      <c r="K736" t="str">
        <f>"9781292055022"</f>
        <v>9781292055022</v>
      </c>
      <c r="L736" t="s">
        <v>25</v>
      </c>
      <c r="M736" t="s">
        <v>15</v>
      </c>
    </row>
    <row r="737" spans="1:13" x14ac:dyDescent="0.15">
      <c r="A737">
        <v>5138633</v>
      </c>
      <c r="B737" t="s">
        <v>2180</v>
      </c>
      <c r="C737" s="1">
        <v>41579</v>
      </c>
      <c r="D737">
        <v>7</v>
      </c>
      <c r="F737" t="s">
        <v>2181</v>
      </c>
      <c r="G737" t="s">
        <v>596</v>
      </c>
      <c r="H737" t="s">
        <v>18</v>
      </c>
      <c r="I737" t="s">
        <v>2182</v>
      </c>
      <c r="J737" t="str">
        <f>"9781292040417"</f>
        <v>9781292040417</v>
      </c>
      <c r="K737" t="str">
        <f>"9781292055046"</f>
        <v>9781292055046</v>
      </c>
      <c r="L737" t="s">
        <v>25</v>
      </c>
      <c r="M737" t="s">
        <v>15</v>
      </c>
    </row>
    <row r="738" spans="1:13" x14ac:dyDescent="0.15">
      <c r="A738">
        <v>5138636</v>
      </c>
      <c r="B738" t="s">
        <v>2183</v>
      </c>
      <c r="C738" s="1">
        <v>41061</v>
      </c>
      <c r="D738">
        <v>1</v>
      </c>
      <c r="F738" t="s">
        <v>2184</v>
      </c>
      <c r="G738" t="s">
        <v>344</v>
      </c>
      <c r="H738" t="s">
        <v>18</v>
      </c>
      <c r="I738" t="s">
        <v>2185</v>
      </c>
      <c r="J738" t="str">
        <f>"9781408280829"</f>
        <v>9781408280829</v>
      </c>
      <c r="K738" t="str">
        <f>"9781408280843"</f>
        <v>9781408280843</v>
      </c>
      <c r="L738" t="s">
        <v>25</v>
      </c>
      <c r="M738" t="s">
        <v>15</v>
      </c>
    </row>
    <row r="739" spans="1:13" x14ac:dyDescent="0.15">
      <c r="A739">
        <v>5138645</v>
      </c>
      <c r="B739" t="s">
        <v>2186</v>
      </c>
      <c r="C739" s="1">
        <v>41579</v>
      </c>
      <c r="D739">
        <v>2</v>
      </c>
      <c r="F739" t="s">
        <v>2187</v>
      </c>
      <c r="G739" t="s">
        <v>1088</v>
      </c>
      <c r="H739" t="s">
        <v>18</v>
      </c>
      <c r="I739" t="s">
        <v>2188</v>
      </c>
      <c r="J739" t="str">
        <f>"9781292040561"</f>
        <v>9781292040561</v>
      </c>
      <c r="K739" t="str">
        <f>"9781292055060"</f>
        <v>9781292055060</v>
      </c>
      <c r="L739" t="s">
        <v>25</v>
      </c>
      <c r="M739" t="s">
        <v>15</v>
      </c>
    </row>
    <row r="740" spans="1:13" x14ac:dyDescent="0.15">
      <c r="A740">
        <v>5138652</v>
      </c>
      <c r="B740" t="s">
        <v>2189</v>
      </c>
      <c r="C740" s="1">
        <v>41579</v>
      </c>
      <c r="D740">
        <v>6</v>
      </c>
      <c r="F740" t="s">
        <v>2190</v>
      </c>
      <c r="G740" t="s">
        <v>304</v>
      </c>
      <c r="H740" t="s">
        <v>18</v>
      </c>
      <c r="I740" t="s">
        <v>2191</v>
      </c>
      <c r="J740" t="str">
        <f>"9781292042633"</f>
        <v>9781292042633</v>
      </c>
      <c r="K740" t="str">
        <f>"9781292055091"</f>
        <v>9781292055091</v>
      </c>
      <c r="L740" t="s">
        <v>25</v>
      </c>
      <c r="M740" t="s">
        <v>15</v>
      </c>
    </row>
    <row r="741" spans="1:13" x14ac:dyDescent="0.15">
      <c r="A741">
        <v>5138653</v>
      </c>
      <c r="B741" t="s">
        <v>2192</v>
      </c>
      <c r="C741" s="1">
        <v>41514</v>
      </c>
      <c r="D741">
        <v>6</v>
      </c>
      <c r="F741" t="s">
        <v>2193</v>
      </c>
      <c r="H741" t="s">
        <v>18</v>
      </c>
      <c r="I741" t="s">
        <v>2194</v>
      </c>
      <c r="J741" t="str">
        <f>"9781292022772"</f>
        <v>9781292022772</v>
      </c>
      <c r="K741" t="str">
        <f>"9781292035970"</f>
        <v>9781292035970</v>
      </c>
      <c r="L741" t="s">
        <v>25</v>
      </c>
      <c r="M741" t="s">
        <v>15</v>
      </c>
    </row>
    <row r="742" spans="1:13" x14ac:dyDescent="0.15">
      <c r="A742">
        <v>5138654</v>
      </c>
      <c r="B742" t="s">
        <v>2195</v>
      </c>
      <c r="C742" s="1">
        <v>41579</v>
      </c>
      <c r="D742">
        <v>2</v>
      </c>
      <c r="F742" t="s">
        <v>2196</v>
      </c>
      <c r="G742" t="s">
        <v>17</v>
      </c>
      <c r="H742" t="s">
        <v>18</v>
      </c>
      <c r="I742" t="s">
        <v>2197</v>
      </c>
      <c r="J742" t="str">
        <f>"9781292027081"</f>
        <v>9781292027081</v>
      </c>
      <c r="K742" t="str">
        <f>"9781292055107"</f>
        <v>9781292055107</v>
      </c>
      <c r="L742" t="s">
        <v>25</v>
      </c>
      <c r="M742" t="s">
        <v>15</v>
      </c>
    </row>
    <row r="743" spans="1:13" x14ac:dyDescent="0.15">
      <c r="A743">
        <v>5138655</v>
      </c>
      <c r="B743" t="s">
        <v>2198</v>
      </c>
      <c r="C743" s="1">
        <v>41478</v>
      </c>
      <c r="D743">
        <v>1</v>
      </c>
      <c r="F743" t="s">
        <v>2199</v>
      </c>
      <c r="G743" t="s">
        <v>1379</v>
      </c>
      <c r="H743" t="s">
        <v>18</v>
      </c>
      <c r="I743" t="s">
        <v>2200</v>
      </c>
      <c r="J743" t="str">
        <f>"9781292022642"</f>
        <v>9781292022642</v>
      </c>
      <c r="K743" t="str">
        <f>"9781292035840"</f>
        <v>9781292035840</v>
      </c>
      <c r="L743" t="s">
        <v>25</v>
      </c>
      <c r="M743" t="s">
        <v>15</v>
      </c>
    </row>
    <row r="744" spans="1:13" x14ac:dyDescent="0.15">
      <c r="A744">
        <v>5138656</v>
      </c>
      <c r="B744" t="s">
        <v>2201</v>
      </c>
      <c r="C744" s="1">
        <v>41485</v>
      </c>
      <c r="D744">
        <v>1</v>
      </c>
      <c r="F744" t="s">
        <v>2202</v>
      </c>
      <c r="G744" t="s">
        <v>65</v>
      </c>
      <c r="H744" t="s">
        <v>18</v>
      </c>
      <c r="I744" t="s">
        <v>2203</v>
      </c>
      <c r="J744" t="str">
        <f>"9781292022529"</f>
        <v>9781292022529</v>
      </c>
      <c r="K744" t="str">
        <f>"9781292035727"</f>
        <v>9781292035727</v>
      </c>
      <c r="L744" t="s">
        <v>25</v>
      </c>
      <c r="M744" t="s">
        <v>15</v>
      </c>
    </row>
    <row r="745" spans="1:13" x14ac:dyDescent="0.15">
      <c r="A745">
        <v>5138660</v>
      </c>
      <c r="B745" t="s">
        <v>2204</v>
      </c>
      <c r="C745" s="1">
        <v>40724</v>
      </c>
      <c r="D745">
        <v>8</v>
      </c>
      <c r="F745" t="s">
        <v>2205</v>
      </c>
      <c r="G745" t="s">
        <v>117</v>
      </c>
      <c r="H745" t="s">
        <v>18</v>
      </c>
      <c r="I745" t="s">
        <v>2206</v>
      </c>
      <c r="J745" t="str">
        <f>"9781408257449"</f>
        <v>9781408257449</v>
      </c>
      <c r="K745" t="str">
        <f>"9781408257456"</f>
        <v>9781408257456</v>
      </c>
      <c r="L745" t="s">
        <v>25</v>
      </c>
      <c r="M745" t="s">
        <v>147</v>
      </c>
    </row>
    <row r="746" spans="1:13" x14ac:dyDescent="0.15">
      <c r="A746">
        <v>5138661</v>
      </c>
      <c r="B746" t="s">
        <v>2207</v>
      </c>
      <c r="C746" s="1">
        <v>41452</v>
      </c>
      <c r="D746">
        <v>11</v>
      </c>
      <c r="F746" t="s">
        <v>2208</v>
      </c>
      <c r="G746" t="s">
        <v>117</v>
      </c>
      <c r="H746" t="s">
        <v>18</v>
      </c>
      <c r="I746" t="s">
        <v>2209</v>
      </c>
      <c r="J746" t="str">
        <f>"9781447922933"</f>
        <v>9781447922933</v>
      </c>
      <c r="K746" t="str">
        <f>"9781447922940"</f>
        <v>9781447922940</v>
      </c>
      <c r="L746" t="s">
        <v>25</v>
      </c>
      <c r="M746" t="s">
        <v>15</v>
      </c>
    </row>
    <row r="747" spans="1:13" x14ac:dyDescent="0.15">
      <c r="A747">
        <v>5138662</v>
      </c>
      <c r="B747" t="s">
        <v>2210</v>
      </c>
      <c r="C747" s="1">
        <v>41183</v>
      </c>
      <c r="D747">
        <v>1</v>
      </c>
      <c r="F747" t="s">
        <v>2211</v>
      </c>
      <c r="G747" t="s">
        <v>117</v>
      </c>
      <c r="H747" t="s">
        <v>18</v>
      </c>
      <c r="I747" t="s">
        <v>2212</v>
      </c>
      <c r="J747" t="str">
        <f>"9781408277348"</f>
        <v>9781408277348</v>
      </c>
      <c r="K747" t="str">
        <f>"9781408278888"</f>
        <v>9781408278888</v>
      </c>
      <c r="L747" t="s">
        <v>25</v>
      </c>
      <c r="M747" t="s">
        <v>15</v>
      </c>
    </row>
    <row r="748" spans="1:13" x14ac:dyDescent="0.15">
      <c r="A748">
        <v>5138663</v>
      </c>
      <c r="B748" t="s">
        <v>2213</v>
      </c>
      <c r="C748" s="1">
        <v>41579</v>
      </c>
      <c r="D748">
        <v>12</v>
      </c>
      <c r="F748" t="s">
        <v>2214</v>
      </c>
      <c r="G748" t="s">
        <v>813</v>
      </c>
      <c r="H748" t="s">
        <v>18</v>
      </c>
      <c r="I748" t="s">
        <v>2215</v>
      </c>
      <c r="J748" t="str">
        <f>"9781292042046"</f>
        <v>9781292042046</v>
      </c>
      <c r="K748" t="str">
        <f>"9781292055114"</f>
        <v>9781292055114</v>
      </c>
      <c r="L748" t="s">
        <v>25</v>
      </c>
      <c r="M748" t="s">
        <v>15</v>
      </c>
    </row>
    <row r="749" spans="1:13" x14ac:dyDescent="0.15">
      <c r="A749">
        <v>5138673</v>
      </c>
      <c r="B749" t="s">
        <v>2216</v>
      </c>
      <c r="C749" s="1">
        <v>41323</v>
      </c>
      <c r="D749">
        <v>8</v>
      </c>
      <c r="F749" t="s">
        <v>2217</v>
      </c>
      <c r="H749" t="s">
        <v>18</v>
      </c>
      <c r="I749" t="s">
        <v>2218</v>
      </c>
      <c r="J749" t="str">
        <f>""</f>
        <v/>
      </c>
      <c r="K749" t="str">
        <f>"9780273766193"</f>
        <v>9780273766193</v>
      </c>
      <c r="L749" t="s">
        <v>25</v>
      </c>
      <c r="M749" t="s">
        <v>298</v>
      </c>
    </row>
    <row r="750" spans="1:13" x14ac:dyDescent="0.15">
      <c r="A750">
        <v>5138676</v>
      </c>
      <c r="B750" t="s">
        <v>2219</v>
      </c>
      <c r="C750" s="1">
        <v>41579</v>
      </c>
      <c r="D750">
        <v>5</v>
      </c>
      <c r="F750" t="s">
        <v>2220</v>
      </c>
      <c r="G750" t="s">
        <v>130</v>
      </c>
      <c r="H750" t="s">
        <v>18</v>
      </c>
      <c r="I750" t="s">
        <v>2221</v>
      </c>
      <c r="J750" t="str">
        <f>"9781292027302"</f>
        <v>9781292027302</v>
      </c>
      <c r="K750" t="str">
        <f>"9781292055121"</f>
        <v>9781292055121</v>
      </c>
      <c r="L750" t="s">
        <v>25</v>
      </c>
      <c r="M750" t="s">
        <v>15</v>
      </c>
    </row>
    <row r="751" spans="1:13" x14ac:dyDescent="0.15">
      <c r="A751">
        <v>5138677</v>
      </c>
      <c r="B751" t="s">
        <v>2222</v>
      </c>
      <c r="C751" s="1">
        <v>41513</v>
      </c>
      <c r="D751">
        <v>3</v>
      </c>
      <c r="F751" t="s">
        <v>2223</v>
      </c>
      <c r="H751" t="s">
        <v>18</v>
      </c>
      <c r="I751" t="s">
        <v>2224</v>
      </c>
      <c r="J751" t="str">
        <f>"9781292021409"</f>
        <v>9781292021409</v>
      </c>
      <c r="K751" t="str">
        <f>"9781292034638"</f>
        <v>9781292034638</v>
      </c>
      <c r="L751" t="s">
        <v>25</v>
      </c>
      <c r="M751" t="s">
        <v>15</v>
      </c>
    </row>
    <row r="752" spans="1:13" x14ac:dyDescent="0.15">
      <c r="A752">
        <v>5138678</v>
      </c>
      <c r="B752" t="s">
        <v>2225</v>
      </c>
      <c r="C752" s="1">
        <v>41469</v>
      </c>
      <c r="D752">
        <v>6</v>
      </c>
      <c r="F752" t="s">
        <v>2226</v>
      </c>
      <c r="G752" t="s">
        <v>27</v>
      </c>
      <c r="H752" t="s">
        <v>18</v>
      </c>
      <c r="I752" t="s">
        <v>2227</v>
      </c>
      <c r="J752" t="str">
        <f>"9781292022086"</f>
        <v>9781292022086</v>
      </c>
      <c r="K752" t="str">
        <f>"9781292035291"</f>
        <v>9781292035291</v>
      </c>
      <c r="L752" t="s">
        <v>25</v>
      </c>
      <c r="M752" t="s">
        <v>15</v>
      </c>
    </row>
    <row r="753" spans="1:13" x14ac:dyDescent="0.15">
      <c r="A753">
        <v>5138680</v>
      </c>
      <c r="B753" t="s">
        <v>2228</v>
      </c>
      <c r="C753" s="1">
        <v>41579</v>
      </c>
      <c r="D753">
        <v>3</v>
      </c>
      <c r="F753" t="s">
        <v>2229</v>
      </c>
      <c r="G753" t="s">
        <v>189</v>
      </c>
      <c r="H753" t="s">
        <v>18</v>
      </c>
      <c r="I753" t="s">
        <v>2230</v>
      </c>
      <c r="J753" t="str">
        <f>"9781292027326"</f>
        <v>9781292027326</v>
      </c>
      <c r="K753" t="str">
        <f>"9781292055138"</f>
        <v>9781292055138</v>
      </c>
      <c r="L753" t="s">
        <v>25</v>
      </c>
      <c r="M753" t="s">
        <v>15</v>
      </c>
    </row>
    <row r="754" spans="1:13" x14ac:dyDescent="0.15">
      <c r="A754">
        <v>5138685</v>
      </c>
      <c r="B754" t="s">
        <v>2231</v>
      </c>
      <c r="C754" s="1">
        <v>41484</v>
      </c>
      <c r="D754">
        <v>3</v>
      </c>
      <c r="F754" t="s">
        <v>2232</v>
      </c>
      <c r="G754" t="s">
        <v>946</v>
      </c>
      <c r="H754" t="s">
        <v>18</v>
      </c>
      <c r="I754" t="s">
        <v>2233</v>
      </c>
      <c r="J754" t="str">
        <f>"9781292026190"</f>
        <v>9781292026190</v>
      </c>
      <c r="K754" t="str">
        <f>"9781292038599"</f>
        <v>9781292038599</v>
      </c>
      <c r="L754" t="s">
        <v>25</v>
      </c>
      <c r="M754" t="s">
        <v>15</v>
      </c>
    </row>
    <row r="755" spans="1:13" x14ac:dyDescent="0.15">
      <c r="A755">
        <v>5138689</v>
      </c>
      <c r="B755" t="s">
        <v>2234</v>
      </c>
      <c r="C755" s="1">
        <v>41486</v>
      </c>
      <c r="D755">
        <v>9</v>
      </c>
      <c r="F755" t="s">
        <v>2235</v>
      </c>
      <c r="G755" t="s">
        <v>189</v>
      </c>
      <c r="H755" t="s">
        <v>18</v>
      </c>
      <c r="I755" t="s">
        <v>2236</v>
      </c>
      <c r="J755" t="str">
        <f>"9781292024929"</f>
        <v>9781292024929</v>
      </c>
      <c r="K755" t="str">
        <f>"9781292037561"</f>
        <v>9781292037561</v>
      </c>
      <c r="L755" t="s">
        <v>25</v>
      </c>
      <c r="M755" t="s">
        <v>15</v>
      </c>
    </row>
    <row r="756" spans="1:13" x14ac:dyDescent="0.15">
      <c r="A756">
        <v>5138690</v>
      </c>
      <c r="B756" t="s">
        <v>2237</v>
      </c>
      <c r="C756" s="1">
        <v>41579</v>
      </c>
      <c r="D756">
        <v>3</v>
      </c>
      <c r="F756" t="s">
        <v>2238</v>
      </c>
      <c r="G756" t="s">
        <v>1379</v>
      </c>
      <c r="H756" t="s">
        <v>18</v>
      </c>
      <c r="I756" t="s">
        <v>2239</v>
      </c>
      <c r="J756" t="str">
        <f>"9781292039572"</f>
        <v>9781292039572</v>
      </c>
      <c r="K756" t="str">
        <f>"9781292055152"</f>
        <v>9781292055152</v>
      </c>
      <c r="L756" t="s">
        <v>25</v>
      </c>
      <c r="M756" t="s">
        <v>15</v>
      </c>
    </row>
    <row r="757" spans="1:13" x14ac:dyDescent="0.15">
      <c r="A757">
        <v>5138693</v>
      </c>
      <c r="B757" t="s">
        <v>2240</v>
      </c>
      <c r="C757" s="1">
        <v>41500</v>
      </c>
      <c r="D757">
        <v>11</v>
      </c>
      <c r="F757" t="s">
        <v>2241</v>
      </c>
      <c r="G757" t="s">
        <v>304</v>
      </c>
      <c r="H757" t="s">
        <v>18</v>
      </c>
      <c r="I757" t="s">
        <v>2242</v>
      </c>
      <c r="J757" t="str">
        <f>"9781292021430"</f>
        <v>9781292021430</v>
      </c>
      <c r="K757" t="str">
        <f>"9781292034669"</f>
        <v>9781292034669</v>
      </c>
      <c r="L757" t="s">
        <v>25</v>
      </c>
      <c r="M757" t="s">
        <v>15</v>
      </c>
    </row>
    <row r="758" spans="1:13" x14ac:dyDescent="0.15">
      <c r="A758">
        <v>5138696</v>
      </c>
      <c r="B758" t="s">
        <v>2243</v>
      </c>
      <c r="C758" s="1">
        <v>41478</v>
      </c>
      <c r="D758">
        <v>3</v>
      </c>
      <c r="F758" t="s">
        <v>2244</v>
      </c>
      <c r="G758" t="s">
        <v>890</v>
      </c>
      <c r="H758" t="s">
        <v>18</v>
      </c>
      <c r="I758" t="s">
        <v>2245</v>
      </c>
      <c r="J758" t="str">
        <f>"9781292026336"</f>
        <v>9781292026336</v>
      </c>
      <c r="K758" t="str">
        <f>"9781292038728"</f>
        <v>9781292038728</v>
      </c>
      <c r="L758" t="s">
        <v>25</v>
      </c>
      <c r="M758" t="s">
        <v>15</v>
      </c>
    </row>
    <row r="759" spans="1:13" x14ac:dyDescent="0.15">
      <c r="A759">
        <v>5138697</v>
      </c>
      <c r="B759" t="s">
        <v>2246</v>
      </c>
      <c r="C759" s="1">
        <v>41515</v>
      </c>
      <c r="D759">
        <v>3</v>
      </c>
      <c r="F759" t="s">
        <v>2247</v>
      </c>
      <c r="H759" t="s">
        <v>18</v>
      </c>
      <c r="I759" t="s">
        <v>2248</v>
      </c>
      <c r="J759" t="str">
        <f>"9781292024202"</f>
        <v>9781292024202</v>
      </c>
      <c r="K759" t="str">
        <f>"9781292037172"</f>
        <v>9781292037172</v>
      </c>
      <c r="L759" t="s">
        <v>25</v>
      </c>
      <c r="M759" t="s">
        <v>15</v>
      </c>
    </row>
    <row r="760" spans="1:13" x14ac:dyDescent="0.15">
      <c r="A760">
        <v>5138699</v>
      </c>
      <c r="B760" t="s">
        <v>2249</v>
      </c>
      <c r="C760" s="1">
        <v>41579</v>
      </c>
      <c r="D760">
        <v>9</v>
      </c>
      <c r="F760" t="s">
        <v>2250</v>
      </c>
      <c r="G760" t="s">
        <v>946</v>
      </c>
      <c r="H760" t="s">
        <v>18</v>
      </c>
      <c r="I760" t="s">
        <v>2251</v>
      </c>
      <c r="J760" t="str">
        <f>"9781292027678"</f>
        <v>9781292027678</v>
      </c>
      <c r="K760" t="str">
        <f>"9781292055176"</f>
        <v>9781292055176</v>
      </c>
      <c r="L760" t="s">
        <v>25</v>
      </c>
      <c r="M760" t="s">
        <v>15</v>
      </c>
    </row>
    <row r="761" spans="1:13" x14ac:dyDescent="0.15">
      <c r="A761">
        <v>5138704</v>
      </c>
      <c r="B761" t="s">
        <v>2252</v>
      </c>
      <c r="C761" s="1">
        <v>41473</v>
      </c>
      <c r="D761">
        <v>3</v>
      </c>
      <c r="F761" t="s">
        <v>2253</v>
      </c>
      <c r="G761" t="s">
        <v>189</v>
      </c>
      <c r="H761" t="s">
        <v>18</v>
      </c>
      <c r="I761" t="s">
        <v>2254</v>
      </c>
      <c r="J761" t="str">
        <f>"9781292023755"</f>
        <v>9781292023755</v>
      </c>
      <c r="K761" t="str">
        <f>"9781292036885"</f>
        <v>9781292036885</v>
      </c>
      <c r="L761" t="s">
        <v>25</v>
      </c>
      <c r="M761" t="s">
        <v>15</v>
      </c>
    </row>
    <row r="762" spans="1:13" x14ac:dyDescent="0.15">
      <c r="A762">
        <v>5138705</v>
      </c>
      <c r="B762" t="s">
        <v>2255</v>
      </c>
      <c r="C762" s="1">
        <v>41480</v>
      </c>
      <c r="D762">
        <v>2</v>
      </c>
      <c r="F762" t="s">
        <v>2256</v>
      </c>
      <c r="G762" t="s">
        <v>1379</v>
      </c>
      <c r="H762" t="s">
        <v>18</v>
      </c>
      <c r="I762" t="s">
        <v>2257</v>
      </c>
      <c r="J762" t="str">
        <f>"9781292024103"</f>
        <v>9781292024103</v>
      </c>
      <c r="K762" t="str">
        <f>"9781292037158"</f>
        <v>9781292037158</v>
      </c>
      <c r="L762" t="s">
        <v>25</v>
      </c>
      <c r="M762" t="s">
        <v>15</v>
      </c>
    </row>
    <row r="763" spans="1:13" x14ac:dyDescent="0.15">
      <c r="A763">
        <v>5138706</v>
      </c>
      <c r="B763" t="s">
        <v>2258</v>
      </c>
      <c r="C763" s="1">
        <v>41513</v>
      </c>
      <c r="D763">
        <v>8</v>
      </c>
      <c r="F763" t="s">
        <v>2259</v>
      </c>
      <c r="H763" t="s">
        <v>18</v>
      </c>
      <c r="I763" t="s">
        <v>2260</v>
      </c>
      <c r="J763" t="str">
        <f>"9781292020686"</f>
        <v>9781292020686</v>
      </c>
      <c r="K763" t="str">
        <f>"9781292033945"</f>
        <v>9781292033945</v>
      </c>
      <c r="L763" t="s">
        <v>25</v>
      </c>
      <c r="M763" t="s">
        <v>15</v>
      </c>
    </row>
    <row r="764" spans="1:13" x14ac:dyDescent="0.15">
      <c r="A764">
        <v>5138712</v>
      </c>
      <c r="B764" t="s">
        <v>2261</v>
      </c>
      <c r="C764" s="1">
        <v>40211</v>
      </c>
      <c r="D764">
        <v>6</v>
      </c>
      <c r="F764" t="s">
        <v>2262</v>
      </c>
      <c r="G764" t="s">
        <v>2263</v>
      </c>
      <c r="H764" t="s">
        <v>18</v>
      </c>
      <c r="I764" t="s">
        <v>2264</v>
      </c>
      <c r="J764" t="str">
        <f>"9780132224376"</f>
        <v>9780132224376</v>
      </c>
      <c r="K764" t="str">
        <f>"9780273732440"</f>
        <v>9780273732440</v>
      </c>
      <c r="L764" t="s">
        <v>25</v>
      </c>
      <c r="M764" t="s">
        <v>112</v>
      </c>
    </row>
    <row r="765" spans="1:13" x14ac:dyDescent="0.15">
      <c r="A765">
        <v>5138714</v>
      </c>
      <c r="B765" t="s">
        <v>2265</v>
      </c>
      <c r="C765" s="1">
        <v>40567</v>
      </c>
      <c r="D765">
        <v>1</v>
      </c>
      <c r="F765" t="s">
        <v>2266</v>
      </c>
      <c r="H765" t="s">
        <v>18</v>
      </c>
      <c r="I765" t="s">
        <v>2267</v>
      </c>
      <c r="J765" t="str">
        <f>"9780133526974"</f>
        <v>9780133526974</v>
      </c>
      <c r="K765" t="str">
        <f>"9780273735724"</f>
        <v>9780273735724</v>
      </c>
      <c r="L765" t="s">
        <v>25</v>
      </c>
      <c r="M765" t="s">
        <v>98</v>
      </c>
    </row>
    <row r="766" spans="1:13" x14ac:dyDescent="0.15">
      <c r="A766">
        <v>5138715</v>
      </c>
      <c r="B766" t="s">
        <v>2268</v>
      </c>
      <c r="C766" s="1">
        <v>41481</v>
      </c>
      <c r="D766">
        <v>2</v>
      </c>
      <c r="F766" t="s">
        <v>2269</v>
      </c>
      <c r="G766" t="s">
        <v>189</v>
      </c>
      <c r="H766" t="s">
        <v>18</v>
      </c>
      <c r="I766" t="s">
        <v>2270</v>
      </c>
      <c r="J766" t="str">
        <f>"9781292023588"</f>
        <v>9781292023588</v>
      </c>
      <c r="K766" t="str">
        <f>"9781292036748"</f>
        <v>9781292036748</v>
      </c>
      <c r="L766" t="s">
        <v>25</v>
      </c>
      <c r="M766" t="s">
        <v>15</v>
      </c>
    </row>
    <row r="767" spans="1:13" x14ac:dyDescent="0.15">
      <c r="A767">
        <v>5138727</v>
      </c>
      <c r="B767" t="s">
        <v>2271</v>
      </c>
      <c r="C767" s="1">
        <v>40787</v>
      </c>
      <c r="D767">
        <v>1</v>
      </c>
      <c r="F767" t="s">
        <v>2272</v>
      </c>
      <c r="G767" t="s">
        <v>2273</v>
      </c>
      <c r="H767" t="s">
        <v>18</v>
      </c>
      <c r="I767" t="s">
        <v>2274</v>
      </c>
      <c r="J767" t="str">
        <f>"9780273756651"</f>
        <v>9780273756651</v>
      </c>
      <c r="K767" t="str">
        <f>"9780273757214"</f>
        <v>9780273757214</v>
      </c>
      <c r="L767" t="s">
        <v>25</v>
      </c>
      <c r="M767" t="s">
        <v>112</v>
      </c>
    </row>
    <row r="768" spans="1:13" x14ac:dyDescent="0.15">
      <c r="A768">
        <v>5138730</v>
      </c>
      <c r="B768" t="s">
        <v>2275</v>
      </c>
      <c r="C768" s="1">
        <v>41579</v>
      </c>
      <c r="D768">
        <v>12</v>
      </c>
      <c r="F768" t="s">
        <v>2276</v>
      </c>
      <c r="G768" t="s">
        <v>304</v>
      </c>
      <c r="H768" t="s">
        <v>18</v>
      </c>
      <c r="I768" t="s">
        <v>2277</v>
      </c>
      <c r="J768" t="str">
        <f>"9781292041469"</f>
        <v>9781292041469</v>
      </c>
      <c r="K768" t="str">
        <f>"9781292055213"</f>
        <v>9781292055213</v>
      </c>
      <c r="L768" t="s">
        <v>25</v>
      </c>
      <c r="M768" t="s">
        <v>15</v>
      </c>
    </row>
    <row r="769" spans="1:13" x14ac:dyDescent="0.15">
      <c r="A769">
        <v>5138736</v>
      </c>
      <c r="B769" t="s">
        <v>2278</v>
      </c>
      <c r="C769" s="1">
        <v>41579</v>
      </c>
      <c r="D769">
        <v>7</v>
      </c>
      <c r="F769" t="s">
        <v>2279</v>
      </c>
      <c r="G769" t="s">
        <v>17</v>
      </c>
      <c r="H769" t="s">
        <v>18</v>
      </c>
      <c r="I769" t="s">
        <v>2280</v>
      </c>
      <c r="J769" t="str">
        <f>"9781292040820"</f>
        <v>9781292040820</v>
      </c>
      <c r="K769" t="str">
        <f>"9781292055237"</f>
        <v>9781292055237</v>
      </c>
      <c r="L769" t="s">
        <v>25</v>
      </c>
      <c r="M769" t="s">
        <v>15</v>
      </c>
    </row>
    <row r="770" spans="1:13" x14ac:dyDescent="0.15">
      <c r="A770">
        <v>5138738</v>
      </c>
      <c r="B770" t="s">
        <v>2281</v>
      </c>
      <c r="C770" s="1">
        <v>41466</v>
      </c>
      <c r="D770">
        <v>6</v>
      </c>
      <c r="F770" t="s">
        <v>2282</v>
      </c>
      <c r="G770" t="s">
        <v>27</v>
      </c>
      <c r="H770" t="s">
        <v>18</v>
      </c>
      <c r="I770" t="s">
        <v>2283</v>
      </c>
      <c r="J770" t="str">
        <f>"9781292020587"</f>
        <v>9781292020587</v>
      </c>
      <c r="K770" t="str">
        <f>"9781292033860"</f>
        <v>9781292033860</v>
      </c>
      <c r="L770" t="s">
        <v>25</v>
      </c>
      <c r="M770" t="s">
        <v>15</v>
      </c>
    </row>
    <row r="771" spans="1:13" x14ac:dyDescent="0.15">
      <c r="A771">
        <v>5138739</v>
      </c>
      <c r="B771" t="s">
        <v>2284</v>
      </c>
      <c r="C771" s="1">
        <v>41579</v>
      </c>
      <c r="D771">
        <v>4</v>
      </c>
      <c r="F771" t="s">
        <v>2285</v>
      </c>
      <c r="G771" t="s">
        <v>27</v>
      </c>
      <c r="H771" t="s">
        <v>18</v>
      </c>
      <c r="I771" t="s">
        <v>2286</v>
      </c>
      <c r="J771" t="str">
        <f>"9781292041476"</f>
        <v>9781292041476</v>
      </c>
      <c r="K771" t="str">
        <f>"9781292055251"</f>
        <v>9781292055251</v>
      </c>
      <c r="L771" t="s">
        <v>25</v>
      </c>
      <c r="M771" t="s">
        <v>15</v>
      </c>
    </row>
    <row r="772" spans="1:13" x14ac:dyDescent="0.15">
      <c r="A772">
        <v>5138741</v>
      </c>
      <c r="B772" t="s">
        <v>2287</v>
      </c>
      <c r="C772" s="1">
        <v>40654</v>
      </c>
      <c r="D772">
        <v>1</v>
      </c>
      <c r="F772" t="s">
        <v>2288</v>
      </c>
      <c r="G772" t="s">
        <v>27</v>
      </c>
      <c r="H772" t="s">
        <v>18</v>
      </c>
      <c r="I772" t="s">
        <v>2289</v>
      </c>
      <c r="J772" t="str">
        <f>"9781292041483"</f>
        <v>9781292041483</v>
      </c>
      <c r="K772" t="str">
        <f>"9781292055268"</f>
        <v>9781292055268</v>
      </c>
      <c r="L772" t="s">
        <v>25</v>
      </c>
      <c r="M772" t="s">
        <v>15</v>
      </c>
    </row>
    <row r="773" spans="1:13" x14ac:dyDescent="0.15">
      <c r="A773">
        <v>5138743</v>
      </c>
      <c r="B773" t="s">
        <v>2290</v>
      </c>
      <c r="C773" s="1">
        <v>41579</v>
      </c>
      <c r="D773">
        <v>8</v>
      </c>
      <c r="F773" t="s">
        <v>2291</v>
      </c>
      <c r="G773" t="s">
        <v>304</v>
      </c>
      <c r="H773" t="s">
        <v>18</v>
      </c>
      <c r="I773" t="s">
        <v>2292</v>
      </c>
      <c r="J773" t="str">
        <f>"9781292027555"</f>
        <v>9781292027555</v>
      </c>
      <c r="K773" t="str">
        <f>"9781292055282"</f>
        <v>9781292055282</v>
      </c>
      <c r="L773" t="s">
        <v>25</v>
      </c>
      <c r="M773" t="s">
        <v>15</v>
      </c>
    </row>
    <row r="774" spans="1:13" x14ac:dyDescent="0.15">
      <c r="A774">
        <v>5138747</v>
      </c>
      <c r="B774" t="s">
        <v>2293</v>
      </c>
      <c r="C774" s="1">
        <v>41579</v>
      </c>
      <c r="D774">
        <v>2</v>
      </c>
      <c r="F774" t="s">
        <v>2294</v>
      </c>
      <c r="G774" t="s">
        <v>304</v>
      </c>
      <c r="H774" t="s">
        <v>18</v>
      </c>
      <c r="I774" t="s">
        <v>2295</v>
      </c>
      <c r="J774" t="str">
        <f>"9781292040752"</f>
        <v>9781292040752</v>
      </c>
      <c r="K774" t="str">
        <f>"9781292055299"</f>
        <v>9781292055299</v>
      </c>
      <c r="L774" t="s">
        <v>25</v>
      </c>
      <c r="M774" t="s">
        <v>15</v>
      </c>
    </row>
    <row r="775" spans="1:13" x14ac:dyDescent="0.15">
      <c r="A775">
        <v>5138749</v>
      </c>
      <c r="B775" t="s">
        <v>2296</v>
      </c>
      <c r="C775" s="1">
        <v>40630</v>
      </c>
      <c r="D775">
        <v>1</v>
      </c>
      <c r="F775" t="s">
        <v>2297</v>
      </c>
      <c r="H775" t="s">
        <v>18</v>
      </c>
      <c r="I775" t="s">
        <v>2298</v>
      </c>
      <c r="J775" t="str">
        <f>""</f>
        <v/>
      </c>
      <c r="K775" t="str">
        <f>"9780273742562"</f>
        <v>9780273742562</v>
      </c>
      <c r="L775" t="s">
        <v>25</v>
      </c>
      <c r="M775" t="s">
        <v>112</v>
      </c>
    </row>
    <row r="776" spans="1:13" x14ac:dyDescent="0.15">
      <c r="A776">
        <v>5138753</v>
      </c>
      <c r="B776" t="s">
        <v>2299</v>
      </c>
      <c r="C776" s="1">
        <v>41579</v>
      </c>
      <c r="D776">
        <v>3</v>
      </c>
      <c r="F776" t="s">
        <v>2300</v>
      </c>
      <c r="G776" t="s">
        <v>304</v>
      </c>
      <c r="H776" t="s">
        <v>18</v>
      </c>
      <c r="I776" t="s">
        <v>2301</v>
      </c>
      <c r="J776" t="str">
        <f>"9781292040769"</f>
        <v>9781292040769</v>
      </c>
      <c r="K776" t="str">
        <f>"9781292055312"</f>
        <v>9781292055312</v>
      </c>
      <c r="L776" t="s">
        <v>25</v>
      </c>
      <c r="M776" t="s">
        <v>15</v>
      </c>
    </row>
    <row r="777" spans="1:13" x14ac:dyDescent="0.15">
      <c r="A777">
        <v>5138756</v>
      </c>
      <c r="B777" t="s">
        <v>2302</v>
      </c>
      <c r="C777" s="1">
        <v>41547</v>
      </c>
      <c r="D777">
        <v>2</v>
      </c>
      <c r="F777" t="s">
        <v>2303</v>
      </c>
      <c r="G777" t="s">
        <v>1469</v>
      </c>
      <c r="H777" t="s">
        <v>18</v>
      </c>
      <c r="I777" t="s">
        <v>2304</v>
      </c>
      <c r="J777" t="str">
        <f>"9781292039466"</f>
        <v>9781292039466</v>
      </c>
      <c r="K777" t="str">
        <f>"9781292055336"</f>
        <v>9781292055336</v>
      </c>
      <c r="L777" t="s">
        <v>25</v>
      </c>
      <c r="M777" t="s">
        <v>15</v>
      </c>
    </row>
    <row r="778" spans="1:13" x14ac:dyDescent="0.15">
      <c r="A778">
        <v>5138757</v>
      </c>
      <c r="B778" t="s">
        <v>2305</v>
      </c>
      <c r="C778" s="1">
        <v>41579</v>
      </c>
      <c r="D778">
        <v>1</v>
      </c>
      <c r="F778" t="s">
        <v>2306</v>
      </c>
      <c r="G778" t="s">
        <v>36</v>
      </c>
      <c r="H778" t="s">
        <v>18</v>
      </c>
      <c r="I778" t="s">
        <v>2307</v>
      </c>
      <c r="J778" t="str">
        <f>"9781292040325"</f>
        <v>9781292040325</v>
      </c>
      <c r="K778" t="str">
        <f>"9781292055343"</f>
        <v>9781292055343</v>
      </c>
      <c r="L778" t="s">
        <v>25</v>
      </c>
      <c r="M778" t="s">
        <v>15</v>
      </c>
    </row>
    <row r="779" spans="1:13" x14ac:dyDescent="0.15">
      <c r="A779">
        <v>5138762</v>
      </c>
      <c r="B779" t="s">
        <v>2308</v>
      </c>
      <c r="C779" s="1">
        <v>41579</v>
      </c>
      <c r="D779">
        <v>10</v>
      </c>
      <c r="F779" t="s">
        <v>2309</v>
      </c>
      <c r="G779" t="s">
        <v>27</v>
      </c>
      <c r="H779" t="s">
        <v>18</v>
      </c>
      <c r="I779" t="s">
        <v>2310</v>
      </c>
      <c r="J779" t="str">
        <f>"9781292041841"</f>
        <v>9781292041841</v>
      </c>
      <c r="K779" t="str">
        <f>"9781292055350"</f>
        <v>9781292055350</v>
      </c>
      <c r="L779" t="s">
        <v>25</v>
      </c>
      <c r="M779" t="s">
        <v>15</v>
      </c>
    </row>
    <row r="780" spans="1:13" x14ac:dyDescent="0.15">
      <c r="A780">
        <v>5138766</v>
      </c>
      <c r="B780" t="s">
        <v>2311</v>
      </c>
      <c r="C780" s="1">
        <v>41487</v>
      </c>
      <c r="D780">
        <v>8</v>
      </c>
      <c r="F780" t="s">
        <v>2312</v>
      </c>
      <c r="G780" t="s">
        <v>36</v>
      </c>
      <c r="H780" t="s">
        <v>18</v>
      </c>
      <c r="I780" t="s">
        <v>2313</v>
      </c>
      <c r="J780" t="str">
        <f>"9781292025063"</f>
        <v>9781292025063</v>
      </c>
      <c r="K780" t="str">
        <f>"9781292037684"</f>
        <v>9781292037684</v>
      </c>
      <c r="L780" t="s">
        <v>25</v>
      </c>
      <c r="M780" t="s">
        <v>15</v>
      </c>
    </row>
    <row r="781" spans="1:13" x14ac:dyDescent="0.15">
      <c r="A781">
        <v>5138769</v>
      </c>
      <c r="B781" t="s">
        <v>2314</v>
      </c>
      <c r="C781" s="1">
        <v>41579</v>
      </c>
      <c r="D781">
        <v>2</v>
      </c>
      <c r="F781" t="s">
        <v>2315</v>
      </c>
      <c r="G781" t="s">
        <v>1559</v>
      </c>
      <c r="H781" t="s">
        <v>18</v>
      </c>
      <c r="I781" t="s">
        <v>2316</v>
      </c>
      <c r="J781" t="str">
        <f>"9781292039404"</f>
        <v>9781292039404</v>
      </c>
      <c r="K781" t="str">
        <f>"9781292055404"</f>
        <v>9781292055404</v>
      </c>
      <c r="L781" t="s">
        <v>25</v>
      </c>
      <c r="M781" t="s">
        <v>15</v>
      </c>
    </row>
    <row r="782" spans="1:13" x14ac:dyDescent="0.15">
      <c r="A782">
        <v>5138770</v>
      </c>
      <c r="B782" t="s">
        <v>2317</v>
      </c>
      <c r="C782" s="1">
        <v>41579</v>
      </c>
      <c r="D782">
        <v>4</v>
      </c>
      <c r="F782" t="s">
        <v>2318</v>
      </c>
      <c r="H782" t="s">
        <v>18</v>
      </c>
      <c r="I782" t="s">
        <v>2319</v>
      </c>
      <c r="J782" t="str">
        <f>"9781292027098"</f>
        <v>9781292027098</v>
      </c>
      <c r="K782" t="str">
        <f>"9781292055411"</f>
        <v>9781292055411</v>
      </c>
      <c r="L782" t="s">
        <v>25</v>
      </c>
      <c r="M782" t="s">
        <v>15</v>
      </c>
    </row>
    <row r="783" spans="1:13" x14ac:dyDescent="0.15">
      <c r="A783">
        <v>5138774</v>
      </c>
      <c r="B783" t="s">
        <v>2320</v>
      </c>
      <c r="C783" s="1">
        <v>41579</v>
      </c>
      <c r="D783">
        <v>4</v>
      </c>
      <c r="F783" t="s">
        <v>2321</v>
      </c>
      <c r="G783" t="s">
        <v>27</v>
      </c>
      <c r="H783" t="s">
        <v>18</v>
      </c>
      <c r="I783" t="s">
        <v>2322</v>
      </c>
      <c r="J783" t="str">
        <f>"9781292026992"</f>
        <v>9781292026992</v>
      </c>
      <c r="K783" t="str">
        <f>"9781292055428"</f>
        <v>9781292055428</v>
      </c>
      <c r="L783" t="s">
        <v>25</v>
      </c>
      <c r="M783" t="s">
        <v>15</v>
      </c>
    </row>
    <row r="784" spans="1:13" x14ac:dyDescent="0.15">
      <c r="A784">
        <v>5138779</v>
      </c>
      <c r="B784" t="s">
        <v>229</v>
      </c>
      <c r="C784" s="1">
        <v>41438</v>
      </c>
      <c r="D784">
        <v>7</v>
      </c>
      <c r="F784" t="s">
        <v>2323</v>
      </c>
      <c r="G784" t="s">
        <v>36</v>
      </c>
      <c r="H784" t="s">
        <v>18</v>
      </c>
      <c r="I784" t="s">
        <v>2324</v>
      </c>
      <c r="J784" t="str">
        <f>"9780273776208"</f>
        <v>9780273776208</v>
      </c>
      <c r="K784" t="str">
        <f>"9780273776284"</f>
        <v>9780273776284</v>
      </c>
      <c r="L784" t="s">
        <v>25</v>
      </c>
      <c r="M784" t="s">
        <v>15</v>
      </c>
    </row>
    <row r="785" spans="1:13" x14ac:dyDescent="0.15">
      <c r="A785">
        <v>5138783</v>
      </c>
      <c r="B785" t="s">
        <v>441</v>
      </c>
      <c r="C785" s="1">
        <v>41481</v>
      </c>
      <c r="D785">
        <v>10</v>
      </c>
      <c r="F785" t="s">
        <v>2325</v>
      </c>
      <c r="G785" t="s">
        <v>27</v>
      </c>
      <c r="H785" t="s">
        <v>18</v>
      </c>
      <c r="I785" t="s">
        <v>2326</v>
      </c>
      <c r="J785" t="str">
        <f>"9781292020730"</f>
        <v>9781292020730</v>
      </c>
      <c r="K785" t="str">
        <f>"9781292033983"</f>
        <v>9781292033983</v>
      </c>
      <c r="L785" t="s">
        <v>25</v>
      </c>
      <c r="M785" t="s">
        <v>15</v>
      </c>
    </row>
    <row r="786" spans="1:13" x14ac:dyDescent="0.15">
      <c r="A786">
        <v>5138785</v>
      </c>
      <c r="B786" t="s">
        <v>2327</v>
      </c>
      <c r="C786" s="1">
        <v>41579</v>
      </c>
      <c r="D786">
        <v>3</v>
      </c>
      <c r="F786" t="s">
        <v>2328</v>
      </c>
      <c r="G786" t="s">
        <v>2329</v>
      </c>
      <c r="H786" t="s">
        <v>18</v>
      </c>
      <c r="I786" t="s">
        <v>2330</v>
      </c>
      <c r="J786" t="str">
        <f>"9781292040677"</f>
        <v>9781292040677</v>
      </c>
      <c r="K786" t="str">
        <f>"9781292055442"</f>
        <v>9781292055442</v>
      </c>
      <c r="L786" t="s">
        <v>25</v>
      </c>
      <c r="M786" t="s">
        <v>15</v>
      </c>
    </row>
    <row r="787" spans="1:13" x14ac:dyDescent="0.15">
      <c r="A787">
        <v>5138791</v>
      </c>
      <c r="B787" t="s">
        <v>2331</v>
      </c>
      <c r="C787" s="1">
        <v>41492</v>
      </c>
      <c r="D787">
        <v>10</v>
      </c>
      <c r="F787" t="s">
        <v>2332</v>
      </c>
      <c r="G787" t="s">
        <v>27</v>
      </c>
      <c r="H787" t="s">
        <v>18</v>
      </c>
      <c r="I787" t="s">
        <v>2333</v>
      </c>
      <c r="J787" t="str">
        <f>"9781292021997"</f>
        <v>9781292021997</v>
      </c>
      <c r="K787" t="str">
        <f>"9781292035208"</f>
        <v>9781292035208</v>
      </c>
      <c r="L787" t="s">
        <v>25</v>
      </c>
      <c r="M787" t="s">
        <v>15</v>
      </c>
    </row>
    <row r="788" spans="1:13" x14ac:dyDescent="0.15">
      <c r="A788">
        <v>5138793</v>
      </c>
      <c r="B788" t="s">
        <v>2334</v>
      </c>
      <c r="C788" s="1">
        <v>41353</v>
      </c>
      <c r="D788">
        <v>3</v>
      </c>
      <c r="F788" t="s">
        <v>2335</v>
      </c>
      <c r="H788" t="s">
        <v>18</v>
      </c>
      <c r="I788" t="s">
        <v>2336</v>
      </c>
      <c r="J788" t="str">
        <f>""</f>
        <v/>
      </c>
      <c r="K788" t="str">
        <f>"9780273775577"</f>
        <v>9780273775577</v>
      </c>
      <c r="L788" t="s">
        <v>25</v>
      </c>
      <c r="M788" t="s">
        <v>298</v>
      </c>
    </row>
    <row r="789" spans="1:13" x14ac:dyDescent="0.15">
      <c r="A789">
        <v>5138794</v>
      </c>
      <c r="B789" t="s">
        <v>2222</v>
      </c>
      <c r="C789" s="1">
        <v>41478</v>
      </c>
      <c r="D789">
        <v>1</v>
      </c>
      <c r="F789" t="s">
        <v>2337</v>
      </c>
      <c r="G789" t="s">
        <v>65</v>
      </c>
      <c r="H789" t="s">
        <v>18</v>
      </c>
      <c r="I789" t="s">
        <v>2338</v>
      </c>
      <c r="J789" t="str">
        <f>"9781292022352"</f>
        <v>9781292022352</v>
      </c>
      <c r="K789" t="str">
        <f>"9781292035550"</f>
        <v>9781292035550</v>
      </c>
      <c r="L789" t="s">
        <v>25</v>
      </c>
      <c r="M789" t="s">
        <v>15</v>
      </c>
    </row>
    <row r="790" spans="1:13" x14ac:dyDescent="0.15">
      <c r="A790">
        <v>5138798</v>
      </c>
      <c r="B790" t="s">
        <v>2339</v>
      </c>
      <c r="C790" s="1">
        <v>41397</v>
      </c>
      <c r="D790">
        <v>3</v>
      </c>
      <c r="F790" t="s">
        <v>233</v>
      </c>
      <c r="G790" t="s">
        <v>117</v>
      </c>
      <c r="H790" t="s">
        <v>18</v>
      </c>
      <c r="I790" t="s">
        <v>2340</v>
      </c>
      <c r="J790" t="str">
        <f>"9781408293461"</f>
        <v>9781408293461</v>
      </c>
      <c r="K790" t="str">
        <f>"9781408293485"</f>
        <v>9781408293485</v>
      </c>
      <c r="L790" t="s">
        <v>25</v>
      </c>
      <c r="M790" t="s">
        <v>15</v>
      </c>
    </row>
    <row r="791" spans="1:13" x14ac:dyDescent="0.15">
      <c r="A791">
        <v>5138801</v>
      </c>
      <c r="B791" t="s">
        <v>2341</v>
      </c>
      <c r="C791" s="1">
        <v>41550</v>
      </c>
      <c r="D791">
        <v>8</v>
      </c>
      <c r="F791" t="s">
        <v>2342</v>
      </c>
      <c r="H791" t="s">
        <v>18</v>
      </c>
      <c r="I791" t="s">
        <v>2343</v>
      </c>
      <c r="J791" t="str">
        <f>"9781292027777"</f>
        <v>9781292027777</v>
      </c>
      <c r="K791" t="str">
        <f>"9781292055459"</f>
        <v>9781292055459</v>
      </c>
      <c r="L791" t="s">
        <v>25</v>
      </c>
      <c r="M791" t="s">
        <v>15</v>
      </c>
    </row>
    <row r="792" spans="1:13" x14ac:dyDescent="0.15">
      <c r="A792">
        <v>5138804</v>
      </c>
      <c r="B792" t="s">
        <v>2344</v>
      </c>
      <c r="C792" s="1">
        <v>41579</v>
      </c>
      <c r="D792">
        <v>2</v>
      </c>
      <c r="F792" t="s">
        <v>2345</v>
      </c>
      <c r="G792" t="s">
        <v>27</v>
      </c>
      <c r="H792" t="s">
        <v>18</v>
      </c>
      <c r="I792" t="s">
        <v>2346</v>
      </c>
      <c r="J792" t="str">
        <f>"9781292041599"</f>
        <v>9781292041599</v>
      </c>
      <c r="K792" t="str">
        <f>"9781292055480"</f>
        <v>9781292055480</v>
      </c>
      <c r="L792" t="s">
        <v>25</v>
      </c>
      <c r="M792" t="s">
        <v>15</v>
      </c>
    </row>
    <row r="793" spans="1:13" x14ac:dyDescent="0.15">
      <c r="A793">
        <v>5138807</v>
      </c>
      <c r="B793" t="s">
        <v>2347</v>
      </c>
      <c r="C793" s="1">
        <v>41492</v>
      </c>
      <c r="D793">
        <v>6</v>
      </c>
      <c r="F793" t="s">
        <v>2348</v>
      </c>
      <c r="G793" t="s">
        <v>813</v>
      </c>
      <c r="H793" t="s">
        <v>18</v>
      </c>
      <c r="I793" t="s">
        <v>2349</v>
      </c>
      <c r="J793" t="str">
        <f>"9781292023076"</f>
        <v>9781292023076</v>
      </c>
      <c r="K793" t="str">
        <f>"9781292036250"</f>
        <v>9781292036250</v>
      </c>
      <c r="L793" t="s">
        <v>25</v>
      </c>
      <c r="M793" t="s">
        <v>15</v>
      </c>
    </row>
    <row r="794" spans="1:13" x14ac:dyDescent="0.15">
      <c r="A794">
        <v>5138811</v>
      </c>
      <c r="B794" t="s">
        <v>2350</v>
      </c>
      <c r="C794" s="1">
        <v>41491</v>
      </c>
      <c r="D794">
        <v>1</v>
      </c>
      <c r="F794" t="s">
        <v>2351</v>
      </c>
      <c r="G794" t="s">
        <v>36</v>
      </c>
      <c r="H794" t="s">
        <v>18</v>
      </c>
      <c r="I794" t="s">
        <v>2352</v>
      </c>
      <c r="J794" t="str">
        <f>"9781292023533"</f>
        <v>9781292023533</v>
      </c>
      <c r="K794" t="str">
        <f>"9781292036700"</f>
        <v>9781292036700</v>
      </c>
      <c r="L794" t="s">
        <v>25</v>
      </c>
      <c r="M794" t="s">
        <v>15</v>
      </c>
    </row>
    <row r="795" spans="1:13" x14ac:dyDescent="0.15">
      <c r="A795">
        <v>5138812</v>
      </c>
      <c r="B795" t="s">
        <v>2222</v>
      </c>
      <c r="C795" s="1">
        <v>41537</v>
      </c>
      <c r="D795">
        <v>8</v>
      </c>
      <c r="F795" t="s">
        <v>2353</v>
      </c>
      <c r="G795" t="s">
        <v>65</v>
      </c>
      <c r="H795" t="s">
        <v>18</v>
      </c>
      <c r="I795" t="s">
        <v>2354</v>
      </c>
      <c r="J795" t="str">
        <f>"9781292042824"</f>
        <v>9781292042824</v>
      </c>
      <c r="K795" t="str">
        <f>"9781292055497"</f>
        <v>9781292055497</v>
      </c>
      <c r="L795" t="s">
        <v>25</v>
      </c>
      <c r="M795" t="s">
        <v>15</v>
      </c>
    </row>
    <row r="796" spans="1:13" x14ac:dyDescent="0.15">
      <c r="A796">
        <v>5138814</v>
      </c>
      <c r="B796" t="s">
        <v>2355</v>
      </c>
      <c r="C796" s="1">
        <v>41484</v>
      </c>
      <c r="D796">
        <v>2</v>
      </c>
      <c r="F796" t="s">
        <v>2356</v>
      </c>
      <c r="G796" t="s">
        <v>189</v>
      </c>
      <c r="H796" t="s">
        <v>18</v>
      </c>
      <c r="I796" t="s">
        <v>2357</v>
      </c>
      <c r="J796" t="str">
        <f>"9781292025032"</f>
        <v>9781292025032</v>
      </c>
      <c r="K796" t="str">
        <f>"9781292037660"</f>
        <v>9781292037660</v>
      </c>
      <c r="L796" t="s">
        <v>25</v>
      </c>
      <c r="M796" t="s">
        <v>15</v>
      </c>
    </row>
    <row r="797" spans="1:13" x14ac:dyDescent="0.15">
      <c r="A797">
        <v>5138817</v>
      </c>
      <c r="B797" t="s">
        <v>2358</v>
      </c>
      <c r="C797" s="1">
        <v>41579</v>
      </c>
      <c r="D797">
        <v>9</v>
      </c>
      <c r="F797" t="s">
        <v>2359</v>
      </c>
      <c r="G797" t="s">
        <v>189</v>
      </c>
      <c r="H797" t="s">
        <v>18</v>
      </c>
      <c r="I797" t="s">
        <v>2360</v>
      </c>
      <c r="J797" t="str">
        <f>"9781292026824"</f>
        <v>9781292026824</v>
      </c>
      <c r="K797" t="str">
        <f>"9781292055510"</f>
        <v>9781292055510</v>
      </c>
      <c r="L797" t="s">
        <v>25</v>
      </c>
      <c r="M797" t="s">
        <v>15</v>
      </c>
    </row>
    <row r="798" spans="1:13" x14ac:dyDescent="0.15">
      <c r="A798">
        <v>5138828</v>
      </c>
      <c r="B798" t="s">
        <v>2361</v>
      </c>
      <c r="C798" s="1">
        <v>41515</v>
      </c>
      <c r="D798">
        <v>5</v>
      </c>
      <c r="F798" t="s">
        <v>2362</v>
      </c>
      <c r="H798" t="s">
        <v>18</v>
      </c>
      <c r="I798" t="s">
        <v>2363</v>
      </c>
      <c r="J798" t="str">
        <f>"9781292026428"</f>
        <v>9781292026428</v>
      </c>
      <c r="K798" t="str">
        <f>"9781292038810"</f>
        <v>9781292038810</v>
      </c>
      <c r="L798" t="s">
        <v>25</v>
      </c>
      <c r="M798" t="s">
        <v>15</v>
      </c>
    </row>
    <row r="799" spans="1:13" x14ac:dyDescent="0.15">
      <c r="A799">
        <v>5138830</v>
      </c>
      <c r="B799" t="s">
        <v>2364</v>
      </c>
      <c r="C799" s="1">
        <v>41492</v>
      </c>
      <c r="D799">
        <v>9</v>
      </c>
      <c r="F799" t="s">
        <v>2365</v>
      </c>
      <c r="G799" t="s">
        <v>65</v>
      </c>
      <c r="H799" t="s">
        <v>18</v>
      </c>
      <c r="I799" t="s">
        <v>2366</v>
      </c>
      <c r="J799" t="str">
        <f>"9781292023106"</f>
        <v>9781292023106</v>
      </c>
      <c r="K799" t="str">
        <f>"9781292036281"</f>
        <v>9781292036281</v>
      </c>
      <c r="L799" t="s">
        <v>25</v>
      </c>
      <c r="M799" t="s">
        <v>15</v>
      </c>
    </row>
    <row r="800" spans="1:13" x14ac:dyDescent="0.15">
      <c r="A800">
        <v>5138834</v>
      </c>
      <c r="B800" t="s">
        <v>2367</v>
      </c>
      <c r="C800" s="1">
        <v>40744</v>
      </c>
      <c r="D800">
        <v>1</v>
      </c>
      <c r="E800" t="s">
        <v>1433</v>
      </c>
      <c r="F800" t="s">
        <v>2368</v>
      </c>
      <c r="G800" t="s">
        <v>65</v>
      </c>
      <c r="H800" t="s">
        <v>18</v>
      </c>
      <c r="I800" t="s">
        <v>2369</v>
      </c>
      <c r="J800" t="str">
        <f>"9780273738107"</f>
        <v>9780273738107</v>
      </c>
      <c r="K800" t="str">
        <f>"9780273738954"</f>
        <v>9780273738954</v>
      </c>
      <c r="L800" t="s">
        <v>25</v>
      </c>
      <c r="M800" t="s">
        <v>112</v>
      </c>
    </row>
    <row r="801" spans="1:13" x14ac:dyDescent="0.15">
      <c r="A801">
        <v>5138838</v>
      </c>
      <c r="B801" t="s">
        <v>2370</v>
      </c>
      <c r="C801" s="1">
        <v>41492</v>
      </c>
      <c r="D801">
        <v>2</v>
      </c>
      <c r="F801" t="s">
        <v>2371</v>
      </c>
      <c r="G801" t="s">
        <v>478</v>
      </c>
      <c r="H801" t="s">
        <v>18</v>
      </c>
      <c r="I801" t="s">
        <v>2372</v>
      </c>
      <c r="J801" t="str">
        <f>"9781292022574"</f>
        <v>9781292022574</v>
      </c>
      <c r="K801" t="str">
        <f>"9781292035772"</f>
        <v>9781292035772</v>
      </c>
      <c r="L801" t="s">
        <v>25</v>
      </c>
      <c r="M801" t="s">
        <v>15</v>
      </c>
    </row>
    <row r="802" spans="1:13" x14ac:dyDescent="0.15">
      <c r="A802">
        <v>5138839</v>
      </c>
      <c r="B802" t="s">
        <v>2373</v>
      </c>
      <c r="C802" s="1">
        <v>40567</v>
      </c>
      <c r="D802">
        <v>1</v>
      </c>
      <c r="F802" t="s">
        <v>2374</v>
      </c>
      <c r="H802" t="s">
        <v>18</v>
      </c>
      <c r="I802" t="s">
        <v>2375</v>
      </c>
      <c r="J802" t="str">
        <f>""</f>
        <v/>
      </c>
      <c r="K802" t="str">
        <f>"9780273738084"</f>
        <v>9780273738084</v>
      </c>
      <c r="L802" t="s">
        <v>25</v>
      </c>
      <c r="M802" t="s">
        <v>112</v>
      </c>
    </row>
    <row r="803" spans="1:13" x14ac:dyDescent="0.15">
      <c r="A803">
        <v>5138847</v>
      </c>
      <c r="B803" t="s">
        <v>2376</v>
      </c>
      <c r="C803" s="1">
        <v>41579</v>
      </c>
      <c r="D803">
        <v>8</v>
      </c>
      <c r="F803" t="s">
        <v>2377</v>
      </c>
      <c r="G803" t="s">
        <v>946</v>
      </c>
      <c r="H803" t="s">
        <v>18</v>
      </c>
      <c r="I803" t="s">
        <v>2378</v>
      </c>
      <c r="J803" t="str">
        <f>"9781292040714"</f>
        <v>9781292040714</v>
      </c>
      <c r="K803" t="str">
        <f>"9781292055541"</f>
        <v>9781292055541</v>
      </c>
      <c r="L803" t="s">
        <v>25</v>
      </c>
      <c r="M803" t="s">
        <v>15</v>
      </c>
    </row>
    <row r="804" spans="1:13" x14ac:dyDescent="0.15">
      <c r="A804">
        <v>5138851</v>
      </c>
      <c r="B804" t="s">
        <v>2379</v>
      </c>
      <c r="C804" s="1">
        <v>41339</v>
      </c>
      <c r="D804">
        <v>1</v>
      </c>
      <c r="E804" t="s">
        <v>2380</v>
      </c>
      <c r="F804" t="s">
        <v>2381</v>
      </c>
      <c r="G804" t="s">
        <v>117</v>
      </c>
      <c r="H804" t="s">
        <v>18</v>
      </c>
      <c r="I804" t="s">
        <v>2382</v>
      </c>
      <c r="J804" t="str">
        <f>"9781408272329"</f>
        <v>9781408272329</v>
      </c>
      <c r="K804" t="str">
        <f>"9781408272336"</f>
        <v>9781408272336</v>
      </c>
      <c r="L804" t="s">
        <v>25</v>
      </c>
      <c r="M804" t="s">
        <v>15</v>
      </c>
    </row>
    <row r="805" spans="1:13" x14ac:dyDescent="0.15">
      <c r="A805">
        <v>5138852</v>
      </c>
      <c r="B805" t="s">
        <v>2383</v>
      </c>
      <c r="C805" s="1">
        <v>41579</v>
      </c>
      <c r="D805">
        <v>2</v>
      </c>
      <c r="F805" t="s">
        <v>2384</v>
      </c>
      <c r="G805" t="s">
        <v>27</v>
      </c>
      <c r="H805" t="s">
        <v>18</v>
      </c>
      <c r="I805" t="s">
        <v>2385</v>
      </c>
      <c r="J805" t="str">
        <f>"9781292041087"</f>
        <v>9781292041087</v>
      </c>
      <c r="K805" t="str">
        <f>"9781292055572"</f>
        <v>9781292055572</v>
      </c>
      <c r="L805" t="s">
        <v>25</v>
      </c>
      <c r="M805" t="s">
        <v>15</v>
      </c>
    </row>
    <row r="806" spans="1:13" x14ac:dyDescent="0.15">
      <c r="A806">
        <v>5138858</v>
      </c>
      <c r="B806" t="s">
        <v>2386</v>
      </c>
      <c r="C806" s="1">
        <v>41478</v>
      </c>
      <c r="D806">
        <v>6</v>
      </c>
      <c r="F806" t="s">
        <v>2387</v>
      </c>
      <c r="G806" t="s">
        <v>813</v>
      </c>
      <c r="H806" t="s">
        <v>18</v>
      </c>
      <c r="I806" t="s">
        <v>2388</v>
      </c>
      <c r="J806" t="str">
        <f>"9781292021195"</f>
        <v>9781292021195</v>
      </c>
      <c r="K806" t="str">
        <f>"9781292034423"</f>
        <v>9781292034423</v>
      </c>
      <c r="L806" t="s">
        <v>25</v>
      </c>
      <c r="M806" t="s">
        <v>15</v>
      </c>
    </row>
    <row r="807" spans="1:13" x14ac:dyDescent="0.15">
      <c r="A807">
        <v>5138860</v>
      </c>
      <c r="B807" t="s">
        <v>2389</v>
      </c>
      <c r="C807" s="1">
        <v>40346</v>
      </c>
      <c r="D807">
        <v>2</v>
      </c>
      <c r="F807" t="s">
        <v>2390</v>
      </c>
      <c r="G807" t="s">
        <v>202</v>
      </c>
      <c r="H807" t="s">
        <v>18</v>
      </c>
      <c r="I807" t="s">
        <v>2391</v>
      </c>
      <c r="J807" t="str">
        <f>"9780273715399"</f>
        <v>9780273715399</v>
      </c>
      <c r="K807" t="str">
        <f>"9780273762416"</f>
        <v>9780273762416</v>
      </c>
      <c r="L807" t="s">
        <v>25</v>
      </c>
      <c r="M807" t="s">
        <v>39</v>
      </c>
    </row>
    <row r="808" spans="1:13" x14ac:dyDescent="0.15">
      <c r="A808">
        <v>5138861</v>
      </c>
      <c r="B808" t="s">
        <v>1037</v>
      </c>
      <c r="C808" s="1">
        <v>41472</v>
      </c>
      <c r="D808">
        <v>9</v>
      </c>
      <c r="F808" t="s">
        <v>2392</v>
      </c>
      <c r="G808" t="s">
        <v>189</v>
      </c>
      <c r="H808" t="s">
        <v>18</v>
      </c>
      <c r="I808" t="s">
        <v>2393</v>
      </c>
      <c r="J808" t="str">
        <f>"9781292024714"</f>
        <v>9781292024714</v>
      </c>
      <c r="K808" t="str">
        <f>"9781292037394"</f>
        <v>9781292037394</v>
      </c>
      <c r="L808" t="s">
        <v>25</v>
      </c>
      <c r="M808" t="s">
        <v>15</v>
      </c>
    </row>
    <row r="809" spans="1:13" x14ac:dyDescent="0.15">
      <c r="A809">
        <v>5138862</v>
      </c>
      <c r="B809" t="s">
        <v>420</v>
      </c>
      <c r="C809" s="1">
        <v>41481</v>
      </c>
      <c r="D809">
        <v>9</v>
      </c>
      <c r="F809" t="s">
        <v>2392</v>
      </c>
      <c r="G809" t="s">
        <v>189</v>
      </c>
      <c r="H809" t="s">
        <v>18</v>
      </c>
      <c r="I809" t="s">
        <v>2394</v>
      </c>
      <c r="J809" t="str">
        <f>"9781292024707"</f>
        <v>9781292024707</v>
      </c>
      <c r="K809" t="str">
        <f>"9781292037387"</f>
        <v>9781292037387</v>
      </c>
      <c r="L809" t="s">
        <v>25</v>
      </c>
      <c r="M809" t="s">
        <v>15</v>
      </c>
    </row>
    <row r="810" spans="1:13" x14ac:dyDescent="0.15">
      <c r="A810">
        <v>5138863</v>
      </c>
      <c r="B810" t="s">
        <v>935</v>
      </c>
      <c r="C810" s="1">
        <v>41515</v>
      </c>
      <c r="D810">
        <v>4</v>
      </c>
      <c r="F810" t="s">
        <v>2392</v>
      </c>
      <c r="H810" t="s">
        <v>18</v>
      </c>
      <c r="I810" t="s">
        <v>2395</v>
      </c>
      <c r="J810" t="str">
        <f>"9781292023953"</f>
        <v>9781292023953</v>
      </c>
      <c r="K810" t="str">
        <f>"9781292037059"</f>
        <v>9781292037059</v>
      </c>
      <c r="L810" t="s">
        <v>25</v>
      </c>
      <c r="M810" t="s">
        <v>15</v>
      </c>
    </row>
    <row r="811" spans="1:13" x14ac:dyDescent="0.15">
      <c r="A811">
        <v>5138864</v>
      </c>
      <c r="B811" t="s">
        <v>1042</v>
      </c>
      <c r="C811" s="1">
        <v>41579</v>
      </c>
      <c r="D811">
        <v>9</v>
      </c>
      <c r="F811" t="s">
        <v>2392</v>
      </c>
      <c r="G811" t="s">
        <v>189</v>
      </c>
      <c r="H811" t="s">
        <v>18</v>
      </c>
      <c r="I811" t="s">
        <v>2396</v>
      </c>
      <c r="J811" t="str">
        <f>"9781292039442"</f>
        <v>9781292039442</v>
      </c>
      <c r="K811" t="str">
        <f>"9781292055596"</f>
        <v>9781292055596</v>
      </c>
      <c r="L811" t="s">
        <v>25</v>
      </c>
      <c r="M811" t="s">
        <v>15</v>
      </c>
    </row>
    <row r="812" spans="1:13" x14ac:dyDescent="0.15">
      <c r="A812">
        <v>5138865</v>
      </c>
      <c r="B812" t="s">
        <v>2397</v>
      </c>
      <c r="C812" s="1">
        <v>41493</v>
      </c>
      <c r="D812">
        <v>6</v>
      </c>
      <c r="F812" t="s">
        <v>2398</v>
      </c>
      <c r="G812" t="s">
        <v>189</v>
      </c>
      <c r="H812" t="s">
        <v>18</v>
      </c>
      <c r="I812" t="s">
        <v>2399</v>
      </c>
      <c r="J812" t="str">
        <f>"9781292024981"</f>
        <v>9781292024981</v>
      </c>
      <c r="K812" t="str">
        <f>"9781292037615"</f>
        <v>9781292037615</v>
      </c>
      <c r="L812" t="s">
        <v>25</v>
      </c>
      <c r="M812" t="s">
        <v>15</v>
      </c>
    </row>
    <row r="813" spans="1:13" x14ac:dyDescent="0.15">
      <c r="A813">
        <v>5138882</v>
      </c>
      <c r="B813" t="s">
        <v>2400</v>
      </c>
      <c r="C813" s="1">
        <v>41485</v>
      </c>
      <c r="D813">
        <v>8</v>
      </c>
      <c r="F813" t="s">
        <v>2401</v>
      </c>
      <c r="G813" t="s">
        <v>189</v>
      </c>
      <c r="H813" t="s">
        <v>18</v>
      </c>
      <c r="I813" t="s">
        <v>2402</v>
      </c>
      <c r="J813" t="str">
        <f>"9781292022048"</f>
        <v>9781292022048</v>
      </c>
      <c r="K813" t="str">
        <f>"9781292035253"</f>
        <v>9781292035253</v>
      </c>
      <c r="L813" t="s">
        <v>25</v>
      </c>
      <c r="M813" t="s">
        <v>15</v>
      </c>
    </row>
    <row r="814" spans="1:13" x14ac:dyDescent="0.15">
      <c r="A814">
        <v>5138899</v>
      </c>
      <c r="B814" t="s">
        <v>2403</v>
      </c>
      <c r="C814" s="1">
        <v>40745</v>
      </c>
      <c r="D814">
        <v>2</v>
      </c>
      <c r="F814" t="s">
        <v>2404</v>
      </c>
      <c r="H814" t="s">
        <v>18</v>
      </c>
      <c r="I814" t="s">
        <v>2405</v>
      </c>
      <c r="J814" t="str">
        <f>""</f>
        <v/>
      </c>
      <c r="K814" t="str">
        <f>"9780273744573"</f>
        <v>9780273744573</v>
      </c>
      <c r="L814" t="s">
        <v>25</v>
      </c>
      <c r="M814" t="s">
        <v>74</v>
      </c>
    </row>
    <row r="815" spans="1:13" x14ac:dyDescent="0.15">
      <c r="A815">
        <v>5138904</v>
      </c>
      <c r="B815" t="s">
        <v>2406</v>
      </c>
      <c r="C815" s="1">
        <v>40856</v>
      </c>
      <c r="D815">
        <v>2</v>
      </c>
      <c r="F815" t="s">
        <v>99</v>
      </c>
      <c r="H815" t="s">
        <v>18</v>
      </c>
      <c r="I815" t="s">
        <v>2407</v>
      </c>
      <c r="J815" t="str">
        <f>""</f>
        <v/>
      </c>
      <c r="K815" t="str">
        <f>"9780273751137"</f>
        <v>9780273751137</v>
      </c>
      <c r="L815" t="s">
        <v>25</v>
      </c>
      <c r="M815" t="s">
        <v>51</v>
      </c>
    </row>
    <row r="816" spans="1:13" x14ac:dyDescent="0.15">
      <c r="A816">
        <v>5138911</v>
      </c>
      <c r="B816" t="s">
        <v>2408</v>
      </c>
      <c r="C816" s="1">
        <v>41579</v>
      </c>
      <c r="D816">
        <v>3</v>
      </c>
      <c r="F816" t="s">
        <v>2409</v>
      </c>
      <c r="G816" t="s">
        <v>157</v>
      </c>
      <c r="H816" t="s">
        <v>18</v>
      </c>
      <c r="I816" t="s">
        <v>2410</v>
      </c>
      <c r="J816" t="str">
        <f>"9781292027616"</f>
        <v>9781292027616</v>
      </c>
      <c r="K816" t="str">
        <f>"9781292055640"</f>
        <v>9781292055640</v>
      </c>
      <c r="L816" t="s">
        <v>25</v>
      </c>
      <c r="M816" t="s">
        <v>15</v>
      </c>
    </row>
    <row r="817" spans="1:13" x14ac:dyDescent="0.15">
      <c r="A817">
        <v>5138914</v>
      </c>
      <c r="B817" t="s">
        <v>2411</v>
      </c>
      <c r="C817" s="1">
        <v>41492</v>
      </c>
      <c r="D817">
        <v>11</v>
      </c>
      <c r="F817" t="s">
        <v>2412</v>
      </c>
      <c r="G817" t="s">
        <v>395</v>
      </c>
      <c r="H817" t="s">
        <v>18</v>
      </c>
      <c r="I817" t="s">
        <v>2413</v>
      </c>
      <c r="J817" t="str">
        <f>"9781292022833"</f>
        <v>9781292022833</v>
      </c>
      <c r="K817" t="str">
        <f>"9781292036021"</f>
        <v>9781292036021</v>
      </c>
      <c r="L817" t="s">
        <v>25</v>
      </c>
      <c r="M817" t="s">
        <v>15</v>
      </c>
    </row>
    <row r="818" spans="1:13" x14ac:dyDescent="0.15">
      <c r="A818">
        <v>5138915</v>
      </c>
      <c r="B818" t="s">
        <v>2414</v>
      </c>
      <c r="C818" s="1">
        <v>41484</v>
      </c>
      <c r="D818">
        <v>12</v>
      </c>
      <c r="F818" t="s">
        <v>2415</v>
      </c>
      <c r="G818" t="s">
        <v>189</v>
      </c>
      <c r="H818" t="s">
        <v>18</v>
      </c>
      <c r="I818" t="s">
        <v>2416</v>
      </c>
      <c r="J818" t="str">
        <f>"9781292021232"</f>
        <v>9781292021232</v>
      </c>
      <c r="K818" t="str">
        <f>"9781292034461"</f>
        <v>9781292034461</v>
      </c>
      <c r="L818" t="s">
        <v>25</v>
      </c>
      <c r="M818" t="s">
        <v>15</v>
      </c>
    </row>
    <row r="819" spans="1:13" x14ac:dyDescent="0.15">
      <c r="A819">
        <v>5138919</v>
      </c>
      <c r="B819" t="s">
        <v>2417</v>
      </c>
      <c r="C819" s="1">
        <v>41479</v>
      </c>
      <c r="D819">
        <v>3</v>
      </c>
      <c r="F819" t="s">
        <v>2418</v>
      </c>
      <c r="G819" t="s">
        <v>2419</v>
      </c>
      <c r="H819" t="s">
        <v>18</v>
      </c>
      <c r="I819" t="s">
        <v>2420</v>
      </c>
      <c r="J819" t="str">
        <f>"9781292020471"</f>
        <v>9781292020471</v>
      </c>
      <c r="K819" t="str">
        <f>"9781292033778"</f>
        <v>9781292033778</v>
      </c>
      <c r="L819" t="s">
        <v>25</v>
      </c>
      <c r="M819" t="s">
        <v>15</v>
      </c>
    </row>
    <row r="820" spans="1:13" x14ac:dyDescent="0.15">
      <c r="A820">
        <v>5138924</v>
      </c>
      <c r="B820" t="s">
        <v>2421</v>
      </c>
      <c r="C820" s="1">
        <v>41579</v>
      </c>
      <c r="D820">
        <v>9</v>
      </c>
      <c r="F820" t="s">
        <v>2422</v>
      </c>
      <c r="G820" t="s">
        <v>408</v>
      </c>
      <c r="H820" t="s">
        <v>18</v>
      </c>
      <c r="I820" t="s">
        <v>2423</v>
      </c>
      <c r="J820" t="str">
        <f>"9781292042435"</f>
        <v>9781292042435</v>
      </c>
      <c r="K820" t="str">
        <f>"9781292055664"</f>
        <v>9781292055664</v>
      </c>
      <c r="L820" t="s">
        <v>25</v>
      </c>
      <c r="M820" t="s">
        <v>15</v>
      </c>
    </row>
    <row r="821" spans="1:13" x14ac:dyDescent="0.15">
      <c r="A821">
        <v>5138925</v>
      </c>
      <c r="B821" t="s">
        <v>2424</v>
      </c>
      <c r="C821" s="1">
        <v>41579</v>
      </c>
      <c r="D821">
        <v>8</v>
      </c>
      <c r="F821" t="s">
        <v>2425</v>
      </c>
      <c r="G821" t="s">
        <v>27</v>
      </c>
      <c r="H821" t="s">
        <v>18</v>
      </c>
      <c r="I821" t="s">
        <v>2426</v>
      </c>
      <c r="J821" t="str">
        <f>"9781292041117"</f>
        <v>9781292041117</v>
      </c>
      <c r="K821" t="str">
        <f>"9781292055671"</f>
        <v>9781292055671</v>
      </c>
      <c r="L821" t="s">
        <v>25</v>
      </c>
      <c r="M821" t="s">
        <v>15</v>
      </c>
    </row>
    <row r="822" spans="1:13" x14ac:dyDescent="0.15">
      <c r="A822">
        <v>5138933</v>
      </c>
      <c r="B822" t="s">
        <v>2427</v>
      </c>
      <c r="C822" s="1">
        <v>41550</v>
      </c>
      <c r="D822">
        <v>4</v>
      </c>
      <c r="F822" t="s">
        <v>2428</v>
      </c>
      <c r="H822" t="s">
        <v>18</v>
      </c>
      <c r="I822" t="s">
        <v>2429</v>
      </c>
      <c r="J822" t="str">
        <f>"9781292039534"</f>
        <v>9781292039534</v>
      </c>
      <c r="K822" t="str">
        <f>"9781292055695"</f>
        <v>9781292055695</v>
      </c>
      <c r="L822" t="s">
        <v>25</v>
      </c>
      <c r="M822" t="s">
        <v>15</v>
      </c>
    </row>
    <row r="823" spans="1:13" x14ac:dyDescent="0.15">
      <c r="A823">
        <v>5138936</v>
      </c>
      <c r="B823" t="s">
        <v>1874</v>
      </c>
      <c r="C823" s="1">
        <v>41491</v>
      </c>
      <c r="D823">
        <v>8</v>
      </c>
      <c r="F823" t="s">
        <v>2430</v>
      </c>
      <c r="G823" t="s">
        <v>189</v>
      </c>
      <c r="H823" t="s">
        <v>18</v>
      </c>
      <c r="I823" t="s">
        <v>2431</v>
      </c>
      <c r="J823" t="str">
        <f>"9781292023892"</f>
        <v>9781292023892</v>
      </c>
      <c r="K823" t="str">
        <f>"9781292037004"</f>
        <v>9781292037004</v>
      </c>
      <c r="L823" t="s">
        <v>25</v>
      </c>
      <c r="M823" t="s">
        <v>15</v>
      </c>
    </row>
    <row r="824" spans="1:13" x14ac:dyDescent="0.15">
      <c r="A824">
        <v>5138937</v>
      </c>
      <c r="B824" t="s">
        <v>1942</v>
      </c>
      <c r="C824" s="1">
        <v>41579</v>
      </c>
      <c r="D824">
        <v>4</v>
      </c>
      <c r="F824" t="s">
        <v>2430</v>
      </c>
      <c r="G824" t="s">
        <v>189</v>
      </c>
      <c r="H824" t="s">
        <v>18</v>
      </c>
      <c r="I824" t="s">
        <v>2432</v>
      </c>
      <c r="J824" t="str">
        <f>"9781292039428"</f>
        <v>9781292039428</v>
      </c>
      <c r="K824" t="str">
        <f>"9781292055718"</f>
        <v>9781292055718</v>
      </c>
      <c r="L824" t="s">
        <v>25</v>
      </c>
      <c r="M824" t="s">
        <v>15</v>
      </c>
    </row>
    <row r="825" spans="1:13" x14ac:dyDescent="0.15">
      <c r="A825">
        <v>5138939</v>
      </c>
      <c r="B825" t="s">
        <v>2433</v>
      </c>
      <c r="C825" s="1">
        <v>41486</v>
      </c>
      <c r="D825">
        <v>11</v>
      </c>
      <c r="F825" t="s">
        <v>2434</v>
      </c>
      <c r="G825" t="s">
        <v>22</v>
      </c>
      <c r="H825" t="s">
        <v>18</v>
      </c>
      <c r="I825" t="s">
        <v>2435</v>
      </c>
      <c r="J825" t="str">
        <f>"9781292025506"</f>
        <v>9781292025506</v>
      </c>
      <c r="K825" t="str">
        <f>"9781292037998"</f>
        <v>9781292037998</v>
      </c>
      <c r="L825" t="s">
        <v>25</v>
      </c>
      <c r="M825" t="s">
        <v>15</v>
      </c>
    </row>
    <row r="826" spans="1:13" x14ac:dyDescent="0.15">
      <c r="A826">
        <v>5138940</v>
      </c>
      <c r="B826" t="s">
        <v>2436</v>
      </c>
      <c r="C826" s="1">
        <v>41579</v>
      </c>
      <c r="D826">
        <v>6</v>
      </c>
      <c r="F826" t="s">
        <v>2437</v>
      </c>
      <c r="G826" t="s">
        <v>221</v>
      </c>
      <c r="H826" t="s">
        <v>18</v>
      </c>
      <c r="I826" t="s">
        <v>2438</v>
      </c>
      <c r="J826" t="str">
        <f>"9781292027357"</f>
        <v>9781292027357</v>
      </c>
      <c r="K826" t="str">
        <f>"9781292056265"</f>
        <v>9781292056265</v>
      </c>
      <c r="L826" t="s">
        <v>25</v>
      </c>
      <c r="M826" t="s">
        <v>15</v>
      </c>
    </row>
    <row r="827" spans="1:13" x14ac:dyDescent="0.15">
      <c r="A827">
        <v>5138942</v>
      </c>
      <c r="B827" t="s">
        <v>2439</v>
      </c>
      <c r="C827" s="1">
        <v>41579</v>
      </c>
      <c r="D827">
        <v>2</v>
      </c>
      <c r="F827" t="s">
        <v>2440</v>
      </c>
      <c r="G827" t="s">
        <v>130</v>
      </c>
      <c r="H827" t="s">
        <v>18</v>
      </c>
      <c r="I827" t="s">
        <v>2441</v>
      </c>
      <c r="J827" t="str">
        <f>"9781292041100"</f>
        <v>9781292041100</v>
      </c>
      <c r="K827" t="str">
        <f>"9781292055725"</f>
        <v>9781292055725</v>
      </c>
      <c r="L827" t="s">
        <v>25</v>
      </c>
      <c r="M827" t="s">
        <v>15</v>
      </c>
    </row>
    <row r="828" spans="1:13" x14ac:dyDescent="0.15">
      <c r="A828">
        <v>5138943</v>
      </c>
      <c r="B828" t="s">
        <v>2442</v>
      </c>
      <c r="C828" s="1">
        <v>41579</v>
      </c>
      <c r="D828">
        <v>6</v>
      </c>
      <c r="F828" t="s">
        <v>2440</v>
      </c>
      <c r="G828" t="s">
        <v>27</v>
      </c>
      <c r="H828" t="s">
        <v>18</v>
      </c>
      <c r="I828" t="s">
        <v>2443</v>
      </c>
      <c r="J828" t="str">
        <f>"9781292041544"</f>
        <v>9781292041544</v>
      </c>
      <c r="K828" t="str">
        <f>"9781292055732"</f>
        <v>9781292055732</v>
      </c>
      <c r="L828" t="s">
        <v>25</v>
      </c>
      <c r="M828" t="s">
        <v>15</v>
      </c>
    </row>
    <row r="829" spans="1:13" x14ac:dyDescent="0.15">
      <c r="A829">
        <v>5138946</v>
      </c>
      <c r="B829" t="s">
        <v>2444</v>
      </c>
      <c r="C829" s="1">
        <v>41488</v>
      </c>
      <c r="D829">
        <v>7</v>
      </c>
      <c r="F829" t="s">
        <v>2445</v>
      </c>
      <c r="G829" t="s">
        <v>304</v>
      </c>
      <c r="H829" t="s">
        <v>18</v>
      </c>
      <c r="I829" t="s">
        <v>2446</v>
      </c>
      <c r="J829" t="str">
        <f>"9781292025308"</f>
        <v>9781292025308</v>
      </c>
      <c r="K829" t="str">
        <f>"9781292037868"</f>
        <v>9781292037868</v>
      </c>
      <c r="L829" t="s">
        <v>25</v>
      </c>
      <c r="M829" t="s">
        <v>15</v>
      </c>
    </row>
    <row r="830" spans="1:13" x14ac:dyDescent="0.15">
      <c r="A830">
        <v>5138948</v>
      </c>
      <c r="B830" t="s">
        <v>2447</v>
      </c>
      <c r="C830" s="1">
        <v>41579</v>
      </c>
      <c r="D830">
        <v>6</v>
      </c>
      <c r="F830" t="s">
        <v>2448</v>
      </c>
      <c r="G830" t="s">
        <v>304</v>
      </c>
      <c r="H830" t="s">
        <v>18</v>
      </c>
      <c r="I830" t="s">
        <v>2449</v>
      </c>
      <c r="J830" t="str">
        <f>"9781292041520"</f>
        <v>9781292041520</v>
      </c>
      <c r="K830" t="str">
        <f>"9781292055756"</f>
        <v>9781292055756</v>
      </c>
      <c r="L830" t="s">
        <v>25</v>
      </c>
      <c r="M830" t="s">
        <v>15</v>
      </c>
    </row>
    <row r="831" spans="1:13" x14ac:dyDescent="0.15">
      <c r="A831">
        <v>5138950</v>
      </c>
      <c r="B831" t="s">
        <v>2450</v>
      </c>
      <c r="C831" s="1">
        <v>41579</v>
      </c>
      <c r="D831">
        <v>1</v>
      </c>
      <c r="F831" t="s">
        <v>2451</v>
      </c>
      <c r="G831" t="s">
        <v>890</v>
      </c>
      <c r="H831" t="s">
        <v>18</v>
      </c>
      <c r="I831" t="s">
        <v>2452</v>
      </c>
      <c r="J831" t="str">
        <f>"9781292039640"</f>
        <v>9781292039640</v>
      </c>
      <c r="K831" t="str">
        <f>"9781292055794"</f>
        <v>9781292055794</v>
      </c>
      <c r="L831" t="s">
        <v>25</v>
      </c>
      <c r="M831" t="s">
        <v>15</v>
      </c>
    </row>
    <row r="832" spans="1:13" x14ac:dyDescent="0.15">
      <c r="A832">
        <v>5138951</v>
      </c>
      <c r="B832" t="s">
        <v>2453</v>
      </c>
      <c r="C832" s="1">
        <v>41579</v>
      </c>
      <c r="D832">
        <v>5</v>
      </c>
      <c r="F832" t="s">
        <v>856</v>
      </c>
      <c r="H832" t="s">
        <v>18</v>
      </c>
      <c r="I832" t="s">
        <v>2454</v>
      </c>
      <c r="J832" t="str">
        <f>"9781292041766"</f>
        <v>9781292041766</v>
      </c>
      <c r="K832" t="str">
        <f>"9781292055770"</f>
        <v>9781292055770</v>
      </c>
      <c r="L832" t="s">
        <v>25</v>
      </c>
      <c r="M832" t="s">
        <v>15</v>
      </c>
    </row>
    <row r="833" spans="1:13" x14ac:dyDescent="0.15">
      <c r="A833">
        <v>5138954</v>
      </c>
      <c r="B833" t="s">
        <v>2455</v>
      </c>
      <c r="C833" s="1">
        <v>41513</v>
      </c>
      <c r="D833">
        <v>4</v>
      </c>
      <c r="F833" t="s">
        <v>859</v>
      </c>
      <c r="H833" t="s">
        <v>18</v>
      </c>
      <c r="I833" t="s">
        <v>2456</v>
      </c>
      <c r="J833" t="str">
        <f>"9781292020723"</f>
        <v>9781292020723</v>
      </c>
      <c r="K833" t="str">
        <f>"9781292033976"</f>
        <v>9781292033976</v>
      </c>
      <c r="L833" t="s">
        <v>25</v>
      </c>
      <c r="M833" t="s">
        <v>15</v>
      </c>
    </row>
    <row r="834" spans="1:13" x14ac:dyDescent="0.15">
      <c r="A834">
        <v>5138959</v>
      </c>
      <c r="B834" t="s">
        <v>2457</v>
      </c>
      <c r="C834" s="1">
        <v>40815</v>
      </c>
      <c r="D834">
        <v>5</v>
      </c>
      <c r="F834" t="s">
        <v>2458</v>
      </c>
      <c r="G834" t="s">
        <v>36</v>
      </c>
      <c r="H834" t="s">
        <v>18</v>
      </c>
      <c r="I834" t="s">
        <v>2459</v>
      </c>
      <c r="J834" t="str">
        <f>"9780273736561"</f>
        <v>9780273736561</v>
      </c>
      <c r="K834" t="str">
        <f>"9780273736578"</f>
        <v>9780273736578</v>
      </c>
      <c r="L834" t="s">
        <v>25</v>
      </c>
      <c r="M834" t="s">
        <v>39</v>
      </c>
    </row>
    <row r="835" spans="1:13" x14ac:dyDescent="0.15">
      <c r="A835">
        <v>5138968</v>
      </c>
      <c r="B835" t="s">
        <v>2460</v>
      </c>
      <c r="C835" s="1">
        <v>40725</v>
      </c>
      <c r="D835">
        <v>1</v>
      </c>
      <c r="E835" t="s">
        <v>1433</v>
      </c>
      <c r="F835" t="s">
        <v>2461</v>
      </c>
      <c r="G835" t="s">
        <v>65</v>
      </c>
      <c r="H835" t="s">
        <v>18</v>
      </c>
      <c r="I835" t="s">
        <v>2462</v>
      </c>
      <c r="J835" t="str">
        <f>"9780273735168"</f>
        <v>9780273735168</v>
      </c>
      <c r="K835" t="str">
        <f>"9780273735182"</f>
        <v>9780273735182</v>
      </c>
      <c r="L835" t="s">
        <v>25</v>
      </c>
      <c r="M835" t="s">
        <v>112</v>
      </c>
    </row>
    <row r="836" spans="1:13" x14ac:dyDescent="0.15">
      <c r="A836">
        <v>5138969</v>
      </c>
      <c r="B836" t="s">
        <v>2463</v>
      </c>
      <c r="C836" s="1">
        <v>41275</v>
      </c>
      <c r="D836">
        <v>6</v>
      </c>
      <c r="F836" t="s">
        <v>2464</v>
      </c>
      <c r="G836" t="s">
        <v>36</v>
      </c>
      <c r="H836" t="s">
        <v>18</v>
      </c>
      <c r="I836" t="s">
        <v>2465</v>
      </c>
      <c r="J836" t="str">
        <f>"9780273757733"</f>
        <v>9780273757733</v>
      </c>
      <c r="K836" t="str">
        <f>"9780273757764"</f>
        <v>9780273757764</v>
      </c>
      <c r="L836" t="s">
        <v>25</v>
      </c>
      <c r="M836" t="s">
        <v>15</v>
      </c>
    </row>
    <row r="837" spans="1:13" x14ac:dyDescent="0.15">
      <c r="A837">
        <v>5138974</v>
      </c>
      <c r="B837" t="s">
        <v>2466</v>
      </c>
      <c r="C837" s="1">
        <v>41579</v>
      </c>
      <c r="D837">
        <v>4</v>
      </c>
      <c r="F837" t="s">
        <v>2467</v>
      </c>
      <c r="G837" t="s">
        <v>130</v>
      </c>
      <c r="H837" t="s">
        <v>18</v>
      </c>
      <c r="I837" t="s">
        <v>2468</v>
      </c>
      <c r="J837" t="str">
        <f>"9781292041995"</f>
        <v>9781292041995</v>
      </c>
      <c r="K837" t="str">
        <f>"9781292055824"</f>
        <v>9781292055824</v>
      </c>
      <c r="L837" t="s">
        <v>25</v>
      </c>
      <c r="M837" t="s">
        <v>15</v>
      </c>
    </row>
    <row r="838" spans="1:13" x14ac:dyDescent="0.15">
      <c r="A838">
        <v>5138976</v>
      </c>
      <c r="B838" t="s">
        <v>2469</v>
      </c>
      <c r="C838" s="1">
        <v>41365</v>
      </c>
      <c r="D838">
        <v>1</v>
      </c>
      <c r="F838" t="s">
        <v>2470</v>
      </c>
      <c r="G838" t="s">
        <v>65</v>
      </c>
      <c r="H838" t="s">
        <v>18</v>
      </c>
      <c r="I838" t="s">
        <v>2471</v>
      </c>
      <c r="J838" t="str">
        <f>"9780273737940"</f>
        <v>9780273737940</v>
      </c>
      <c r="K838" t="str">
        <f>"9780273737971"</f>
        <v>9780273737971</v>
      </c>
      <c r="L838" t="s">
        <v>25</v>
      </c>
      <c r="M838" t="s">
        <v>15</v>
      </c>
    </row>
    <row r="839" spans="1:13" x14ac:dyDescent="0.15">
      <c r="A839">
        <v>5138977</v>
      </c>
      <c r="B839" t="s">
        <v>2472</v>
      </c>
      <c r="C839" s="1">
        <v>41513</v>
      </c>
      <c r="D839">
        <v>2</v>
      </c>
      <c r="F839" t="s">
        <v>2473</v>
      </c>
      <c r="H839" t="s">
        <v>18</v>
      </c>
      <c r="I839" t="s">
        <v>2474</v>
      </c>
      <c r="J839" t="str">
        <f>"9781292022055"</f>
        <v>9781292022055</v>
      </c>
      <c r="K839" t="str">
        <f>"9781292035260"</f>
        <v>9781292035260</v>
      </c>
      <c r="L839" t="s">
        <v>25</v>
      </c>
      <c r="M839" t="s">
        <v>15</v>
      </c>
    </row>
    <row r="840" spans="1:13" x14ac:dyDescent="0.15">
      <c r="A840">
        <v>5138979</v>
      </c>
      <c r="B840" t="s">
        <v>2475</v>
      </c>
      <c r="C840" s="1">
        <v>41515</v>
      </c>
      <c r="D840">
        <v>5</v>
      </c>
      <c r="F840" t="s">
        <v>2476</v>
      </c>
      <c r="H840" t="s">
        <v>18</v>
      </c>
      <c r="I840" t="s">
        <v>2477</v>
      </c>
      <c r="J840" t="str">
        <f>"9781292024851"</f>
        <v>9781292024851</v>
      </c>
      <c r="K840" t="str">
        <f>"9781292037516"</f>
        <v>9781292037516</v>
      </c>
      <c r="L840" t="s">
        <v>25</v>
      </c>
      <c r="M840" t="s">
        <v>15</v>
      </c>
    </row>
    <row r="841" spans="1:13" x14ac:dyDescent="0.15">
      <c r="A841">
        <v>5138981</v>
      </c>
      <c r="B841" t="s">
        <v>2478</v>
      </c>
      <c r="C841" s="1">
        <v>41333</v>
      </c>
      <c r="D841">
        <v>3</v>
      </c>
      <c r="F841" t="s">
        <v>2479</v>
      </c>
      <c r="G841" t="s">
        <v>836</v>
      </c>
      <c r="H841" t="s">
        <v>18</v>
      </c>
      <c r="I841" t="s">
        <v>2480</v>
      </c>
      <c r="J841" t="str">
        <f>"9780273732037"</f>
        <v>9780273732037</v>
      </c>
      <c r="K841" t="str">
        <f>"9780273732181"</f>
        <v>9780273732181</v>
      </c>
      <c r="L841" t="s">
        <v>25</v>
      </c>
      <c r="M841" t="s">
        <v>15</v>
      </c>
    </row>
    <row r="842" spans="1:13" x14ac:dyDescent="0.15">
      <c r="A842">
        <v>5138982</v>
      </c>
      <c r="B842" t="s">
        <v>2481</v>
      </c>
      <c r="C842" s="1">
        <v>41579</v>
      </c>
      <c r="D842">
        <v>1</v>
      </c>
      <c r="F842" t="s">
        <v>2482</v>
      </c>
      <c r="G842" t="s">
        <v>189</v>
      </c>
      <c r="H842" t="s">
        <v>18</v>
      </c>
      <c r="I842" t="s">
        <v>2483</v>
      </c>
      <c r="J842" t="str">
        <f>"9781292042688"</f>
        <v>9781292042688</v>
      </c>
      <c r="K842" t="str">
        <f>"9781292055848"</f>
        <v>9781292055848</v>
      </c>
      <c r="L842" t="s">
        <v>25</v>
      </c>
      <c r="M842" t="s">
        <v>15</v>
      </c>
    </row>
    <row r="843" spans="1:13" x14ac:dyDescent="0.15">
      <c r="A843">
        <v>5138989</v>
      </c>
      <c r="B843" t="s">
        <v>2484</v>
      </c>
      <c r="C843" s="1">
        <v>41481</v>
      </c>
      <c r="D843">
        <v>8</v>
      </c>
      <c r="F843" t="s">
        <v>2485</v>
      </c>
      <c r="G843" t="s">
        <v>2486</v>
      </c>
      <c r="H843" t="s">
        <v>18</v>
      </c>
      <c r="I843" t="s">
        <v>2487</v>
      </c>
      <c r="J843" t="str">
        <f>"9781292026077"</f>
        <v>9781292026077</v>
      </c>
      <c r="K843" t="str">
        <f>"9781292038483"</f>
        <v>9781292038483</v>
      </c>
      <c r="L843" t="s">
        <v>25</v>
      </c>
      <c r="M843" t="s">
        <v>15</v>
      </c>
    </row>
    <row r="844" spans="1:13" x14ac:dyDescent="0.15">
      <c r="A844">
        <v>5138991</v>
      </c>
      <c r="B844" t="s">
        <v>2488</v>
      </c>
      <c r="C844" s="1">
        <v>41484</v>
      </c>
      <c r="D844">
        <v>11</v>
      </c>
      <c r="F844" t="s">
        <v>2489</v>
      </c>
      <c r="G844" t="s">
        <v>304</v>
      </c>
      <c r="H844" t="s">
        <v>18</v>
      </c>
      <c r="I844" t="s">
        <v>2490</v>
      </c>
      <c r="J844" t="str">
        <f>"9781292025230"</f>
        <v>9781292025230</v>
      </c>
      <c r="K844" t="str">
        <f>"9781292037806"</f>
        <v>9781292037806</v>
      </c>
      <c r="L844" t="s">
        <v>25</v>
      </c>
      <c r="M844" t="s">
        <v>15</v>
      </c>
    </row>
    <row r="845" spans="1:13" x14ac:dyDescent="0.15">
      <c r="A845">
        <v>5138992</v>
      </c>
      <c r="B845" t="s">
        <v>2491</v>
      </c>
      <c r="C845" s="1">
        <v>41579</v>
      </c>
      <c r="D845">
        <v>2</v>
      </c>
      <c r="F845" t="s">
        <v>2492</v>
      </c>
      <c r="G845" t="s">
        <v>1088</v>
      </c>
      <c r="H845" t="s">
        <v>18</v>
      </c>
      <c r="I845" t="s">
        <v>2493</v>
      </c>
      <c r="J845" t="str">
        <f>"9781292027104"</f>
        <v>9781292027104</v>
      </c>
      <c r="K845" t="str">
        <f>"9781292055879"</f>
        <v>9781292055879</v>
      </c>
      <c r="L845" t="s">
        <v>25</v>
      </c>
      <c r="M845" t="s">
        <v>15</v>
      </c>
    </row>
    <row r="846" spans="1:13" x14ac:dyDescent="0.15">
      <c r="A846">
        <v>5138993</v>
      </c>
      <c r="B846" t="s">
        <v>2494</v>
      </c>
      <c r="C846" s="1">
        <v>41579</v>
      </c>
      <c r="D846">
        <v>3</v>
      </c>
      <c r="F846" t="s">
        <v>2495</v>
      </c>
      <c r="G846" t="s">
        <v>27</v>
      </c>
      <c r="H846" t="s">
        <v>18</v>
      </c>
      <c r="I846" t="s">
        <v>2496</v>
      </c>
      <c r="J846" t="str">
        <f>"9781292042022"</f>
        <v>9781292042022</v>
      </c>
      <c r="K846" t="str">
        <f>"9781292055886"</f>
        <v>9781292055886</v>
      </c>
      <c r="L846" t="s">
        <v>25</v>
      </c>
      <c r="M846" t="s">
        <v>15</v>
      </c>
    </row>
    <row r="847" spans="1:13" x14ac:dyDescent="0.15">
      <c r="A847">
        <v>5138996</v>
      </c>
      <c r="B847" t="s">
        <v>2497</v>
      </c>
      <c r="C847" s="1">
        <v>41478</v>
      </c>
      <c r="D847">
        <v>8</v>
      </c>
      <c r="F847" t="s">
        <v>2498</v>
      </c>
      <c r="G847" t="s">
        <v>130</v>
      </c>
      <c r="H847" t="s">
        <v>18</v>
      </c>
      <c r="I847" t="s">
        <v>2499</v>
      </c>
      <c r="J847" t="str">
        <f>"9781292022376"</f>
        <v>9781292022376</v>
      </c>
      <c r="K847" t="str">
        <f>"9781292035574"</f>
        <v>9781292035574</v>
      </c>
      <c r="L847" t="s">
        <v>25</v>
      </c>
      <c r="M847" t="s">
        <v>15</v>
      </c>
    </row>
    <row r="848" spans="1:13" x14ac:dyDescent="0.15">
      <c r="A848">
        <v>5138999</v>
      </c>
      <c r="B848" t="s">
        <v>2500</v>
      </c>
      <c r="C848" s="1">
        <v>41491</v>
      </c>
      <c r="D848">
        <v>4</v>
      </c>
      <c r="F848" t="s">
        <v>2501</v>
      </c>
      <c r="G848" t="s">
        <v>1379</v>
      </c>
      <c r="H848" t="s">
        <v>18</v>
      </c>
      <c r="I848" t="s">
        <v>2502</v>
      </c>
      <c r="J848" t="str">
        <f>"9781292021003"</f>
        <v>9781292021003</v>
      </c>
      <c r="K848" t="str">
        <f>"9781292034256"</f>
        <v>9781292034256</v>
      </c>
      <c r="L848" t="s">
        <v>25</v>
      </c>
      <c r="M848" t="s">
        <v>15</v>
      </c>
    </row>
    <row r="849" spans="1:13" x14ac:dyDescent="0.15">
      <c r="A849">
        <v>5139003</v>
      </c>
      <c r="B849" t="s">
        <v>2503</v>
      </c>
      <c r="C849" s="1">
        <v>41537</v>
      </c>
      <c r="D849">
        <v>4</v>
      </c>
      <c r="F849" t="s">
        <v>2504</v>
      </c>
      <c r="G849" t="s">
        <v>2067</v>
      </c>
      <c r="H849" t="s">
        <v>18</v>
      </c>
      <c r="I849" t="s">
        <v>2505</v>
      </c>
      <c r="J849" t="str">
        <f>"9781292021010"</f>
        <v>9781292021010</v>
      </c>
      <c r="K849" t="str">
        <f>"9781292034263"</f>
        <v>9781292034263</v>
      </c>
      <c r="L849" t="s">
        <v>25</v>
      </c>
      <c r="M849" t="s">
        <v>15</v>
      </c>
    </row>
    <row r="850" spans="1:13" x14ac:dyDescent="0.15">
      <c r="A850">
        <v>5139004</v>
      </c>
      <c r="B850" t="s">
        <v>2506</v>
      </c>
      <c r="C850" s="1">
        <v>41547</v>
      </c>
      <c r="D850">
        <v>8</v>
      </c>
      <c r="F850" t="s">
        <v>2507</v>
      </c>
      <c r="G850" t="s">
        <v>1088</v>
      </c>
      <c r="H850" t="s">
        <v>18</v>
      </c>
      <c r="I850" t="s">
        <v>2508</v>
      </c>
      <c r="J850" t="str">
        <f>"9781292027364"</f>
        <v>9781292027364</v>
      </c>
      <c r="K850" t="str">
        <f>"9781292055923"</f>
        <v>9781292055923</v>
      </c>
      <c r="L850" t="s">
        <v>25</v>
      </c>
      <c r="M850" t="s">
        <v>15</v>
      </c>
    </row>
    <row r="851" spans="1:13" x14ac:dyDescent="0.15">
      <c r="A851">
        <v>5139007</v>
      </c>
      <c r="B851" t="s">
        <v>2509</v>
      </c>
      <c r="C851" s="1">
        <v>41487</v>
      </c>
      <c r="D851">
        <v>1</v>
      </c>
      <c r="F851" t="s">
        <v>2510</v>
      </c>
      <c r="G851" t="s">
        <v>202</v>
      </c>
      <c r="H851" t="s">
        <v>18</v>
      </c>
      <c r="I851" t="s">
        <v>2511</v>
      </c>
      <c r="J851" t="str">
        <f>"9780273776031"</f>
        <v>9780273776031</v>
      </c>
      <c r="K851" t="str">
        <f>"9780273776055"</f>
        <v>9780273776055</v>
      </c>
      <c r="L851" t="s">
        <v>25</v>
      </c>
      <c r="M851" t="s">
        <v>15</v>
      </c>
    </row>
    <row r="852" spans="1:13" x14ac:dyDescent="0.15">
      <c r="A852">
        <v>5139008</v>
      </c>
      <c r="B852" t="s">
        <v>2512</v>
      </c>
      <c r="C852" s="1">
        <v>41494</v>
      </c>
      <c r="D852">
        <v>1</v>
      </c>
      <c r="F852" t="s">
        <v>2510</v>
      </c>
      <c r="G852" t="s">
        <v>2513</v>
      </c>
      <c r="H852" t="s">
        <v>18</v>
      </c>
      <c r="I852" t="s">
        <v>2514</v>
      </c>
      <c r="J852" t="str">
        <f>"9780273776130"</f>
        <v>9780273776130</v>
      </c>
      <c r="K852" t="str">
        <f>"9780273776154"</f>
        <v>9780273776154</v>
      </c>
      <c r="L852" t="s">
        <v>25</v>
      </c>
      <c r="M852" t="s">
        <v>15</v>
      </c>
    </row>
    <row r="853" spans="1:13" x14ac:dyDescent="0.15">
      <c r="A853">
        <v>5139012</v>
      </c>
      <c r="B853" t="s">
        <v>2515</v>
      </c>
      <c r="C853" s="1">
        <v>41579</v>
      </c>
      <c r="D853">
        <v>3</v>
      </c>
      <c r="F853" t="s">
        <v>2516</v>
      </c>
      <c r="G853" t="s">
        <v>395</v>
      </c>
      <c r="H853" t="s">
        <v>18</v>
      </c>
      <c r="I853" t="s">
        <v>2517</v>
      </c>
      <c r="J853" t="str">
        <f>"9781292027425"</f>
        <v>9781292027425</v>
      </c>
      <c r="K853" t="str">
        <f>"9781292055954"</f>
        <v>9781292055954</v>
      </c>
      <c r="L853" t="s">
        <v>25</v>
      </c>
      <c r="M853" t="s">
        <v>15</v>
      </c>
    </row>
    <row r="854" spans="1:13" x14ac:dyDescent="0.15">
      <c r="A854">
        <v>5139013</v>
      </c>
      <c r="B854" t="s">
        <v>2518</v>
      </c>
      <c r="C854" s="1">
        <v>41515</v>
      </c>
      <c r="D854">
        <v>9</v>
      </c>
      <c r="F854" t="s">
        <v>2519</v>
      </c>
      <c r="H854" t="s">
        <v>18</v>
      </c>
      <c r="I854" t="s">
        <v>2520</v>
      </c>
      <c r="J854" t="str">
        <f>"9781292023922"</f>
        <v>9781292023922</v>
      </c>
      <c r="K854" t="str">
        <f>"9781292037035"</f>
        <v>9781292037035</v>
      </c>
      <c r="L854" t="s">
        <v>25</v>
      </c>
      <c r="M854" t="s">
        <v>15</v>
      </c>
    </row>
    <row r="855" spans="1:13" x14ac:dyDescent="0.15">
      <c r="A855">
        <v>5139015</v>
      </c>
      <c r="B855" t="s">
        <v>2521</v>
      </c>
      <c r="C855" s="1">
        <v>41502</v>
      </c>
      <c r="D855">
        <v>1</v>
      </c>
      <c r="F855" t="s">
        <v>2522</v>
      </c>
      <c r="G855" t="s">
        <v>189</v>
      </c>
      <c r="H855" t="s">
        <v>18</v>
      </c>
      <c r="I855" t="s">
        <v>2523</v>
      </c>
      <c r="J855" t="str">
        <f>"9781292022536"</f>
        <v>9781292022536</v>
      </c>
      <c r="K855" t="str">
        <f>"9781292035734"</f>
        <v>9781292035734</v>
      </c>
      <c r="L855" t="s">
        <v>25</v>
      </c>
      <c r="M855" t="s">
        <v>15</v>
      </c>
    </row>
    <row r="856" spans="1:13" x14ac:dyDescent="0.15">
      <c r="A856">
        <v>5139018</v>
      </c>
      <c r="B856" t="s">
        <v>2524</v>
      </c>
      <c r="C856" s="1">
        <v>40619</v>
      </c>
      <c r="D856">
        <v>1</v>
      </c>
      <c r="F856" t="s">
        <v>2525</v>
      </c>
      <c r="G856" t="s">
        <v>117</v>
      </c>
      <c r="H856" t="s">
        <v>18</v>
      </c>
      <c r="I856" t="s">
        <v>2526</v>
      </c>
      <c r="J856" t="str">
        <f>"9781408224564"</f>
        <v>9781408224564</v>
      </c>
      <c r="K856" t="str">
        <f>"9781408224625"</f>
        <v>9781408224625</v>
      </c>
      <c r="L856" t="s">
        <v>25</v>
      </c>
      <c r="M856" t="s">
        <v>147</v>
      </c>
    </row>
    <row r="857" spans="1:13" x14ac:dyDescent="0.15">
      <c r="A857">
        <v>5139019</v>
      </c>
      <c r="B857" t="s">
        <v>2527</v>
      </c>
      <c r="C857" s="1">
        <v>41410</v>
      </c>
      <c r="D857">
        <v>1</v>
      </c>
      <c r="F857" t="s">
        <v>2525</v>
      </c>
      <c r="G857" t="s">
        <v>117</v>
      </c>
      <c r="H857" t="s">
        <v>18</v>
      </c>
      <c r="I857" t="s">
        <v>2528</v>
      </c>
      <c r="J857" t="str">
        <f>"9781408219126"</f>
        <v>9781408219126</v>
      </c>
      <c r="K857" t="str">
        <f>"9781408219140"</f>
        <v>9781408219140</v>
      </c>
      <c r="L857" t="s">
        <v>25</v>
      </c>
      <c r="M857" t="s">
        <v>15</v>
      </c>
    </row>
    <row r="858" spans="1:13" x14ac:dyDescent="0.15">
      <c r="A858">
        <v>5139020</v>
      </c>
      <c r="B858" t="s">
        <v>2529</v>
      </c>
      <c r="C858" s="1">
        <v>41455</v>
      </c>
      <c r="D858">
        <v>10</v>
      </c>
      <c r="F858" t="s">
        <v>2530</v>
      </c>
      <c r="G858" t="s">
        <v>189</v>
      </c>
      <c r="H858" t="s">
        <v>18</v>
      </c>
      <c r="I858" t="s">
        <v>2531</v>
      </c>
      <c r="J858" t="str">
        <f>"9781292022123"</f>
        <v>9781292022123</v>
      </c>
      <c r="K858" t="str">
        <f>"9781292035321"</f>
        <v>9781292035321</v>
      </c>
      <c r="L858" t="s">
        <v>25</v>
      </c>
      <c r="M858" t="s">
        <v>15</v>
      </c>
    </row>
    <row r="859" spans="1:13" x14ac:dyDescent="0.15">
      <c r="A859">
        <v>5139025</v>
      </c>
      <c r="B859" t="s">
        <v>2532</v>
      </c>
      <c r="C859" s="1">
        <v>41494</v>
      </c>
      <c r="D859">
        <v>1</v>
      </c>
      <c r="F859" t="s">
        <v>2533</v>
      </c>
      <c r="G859" t="s">
        <v>836</v>
      </c>
      <c r="H859" t="s">
        <v>18</v>
      </c>
      <c r="I859" t="s">
        <v>2534</v>
      </c>
      <c r="J859" t="str">
        <f>"9780273776062"</f>
        <v>9780273776062</v>
      </c>
      <c r="K859" t="str">
        <f>"9780273776093"</f>
        <v>9780273776093</v>
      </c>
      <c r="L859" t="s">
        <v>25</v>
      </c>
      <c r="M859" t="s">
        <v>15</v>
      </c>
    </row>
    <row r="860" spans="1:13" x14ac:dyDescent="0.15">
      <c r="A860">
        <v>5139026</v>
      </c>
      <c r="B860" t="s">
        <v>2535</v>
      </c>
      <c r="C860" s="1">
        <v>40756</v>
      </c>
      <c r="D860">
        <v>1</v>
      </c>
      <c r="E860" t="s">
        <v>2536</v>
      </c>
      <c r="F860" t="s">
        <v>2537</v>
      </c>
      <c r="G860" t="s">
        <v>2538</v>
      </c>
      <c r="H860" t="s">
        <v>18</v>
      </c>
      <c r="I860" t="s">
        <v>2539</v>
      </c>
      <c r="J860" t="str">
        <f>"9781408267776"</f>
        <v>9781408267776</v>
      </c>
      <c r="K860" t="str">
        <f>"9781408267790"</f>
        <v>9781408267790</v>
      </c>
      <c r="L860" t="s">
        <v>25</v>
      </c>
      <c r="M860" t="s">
        <v>147</v>
      </c>
    </row>
    <row r="861" spans="1:13" x14ac:dyDescent="0.15">
      <c r="A861">
        <v>5139033</v>
      </c>
      <c r="B861" t="s">
        <v>2540</v>
      </c>
      <c r="C861" s="1">
        <v>41579</v>
      </c>
      <c r="D861">
        <v>9</v>
      </c>
      <c r="F861" t="s">
        <v>2541</v>
      </c>
      <c r="G861" t="s">
        <v>344</v>
      </c>
      <c r="H861" t="s">
        <v>18</v>
      </c>
      <c r="I861" t="s">
        <v>2542</v>
      </c>
      <c r="J861" t="str">
        <f>"9781292039558"</f>
        <v>9781292039558</v>
      </c>
      <c r="K861" t="str">
        <f>"9781292055978"</f>
        <v>9781292055978</v>
      </c>
      <c r="L861" t="s">
        <v>25</v>
      </c>
      <c r="M861" t="s">
        <v>15</v>
      </c>
    </row>
    <row r="862" spans="1:13" x14ac:dyDescent="0.15">
      <c r="A862">
        <v>5139034</v>
      </c>
      <c r="B862" t="s">
        <v>2543</v>
      </c>
      <c r="C862" s="1">
        <v>41478</v>
      </c>
      <c r="D862">
        <v>4</v>
      </c>
      <c r="F862" t="s">
        <v>2544</v>
      </c>
      <c r="G862" t="s">
        <v>478</v>
      </c>
      <c r="H862" t="s">
        <v>18</v>
      </c>
      <c r="I862" t="s">
        <v>2545</v>
      </c>
      <c r="J862" t="str">
        <f>"9781292025766"</f>
        <v>9781292025766</v>
      </c>
      <c r="K862" t="str">
        <f>"9781292038186"</f>
        <v>9781292038186</v>
      </c>
      <c r="L862" t="s">
        <v>25</v>
      </c>
      <c r="M862" t="s">
        <v>15</v>
      </c>
    </row>
    <row r="863" spans="1:13" x14ac:dyDescent="0.15">
      <c r="A863">
        <v>5139036</v>
      </c>
      <c r="B863" t="s">
        <v>2546</v>
      </c>
      <c r="C863" s="1">
        <v>41513</v>
      </c>
      <c r="D863">
        <v>9</v>
      </c>
      <c r="F863" t="s">
        <v>2547</v>
      </c>
      <c r="G863" t="s">
        <v>189</v>
      </c>
      <c r="H863" t="s">
        <v>18</v>
      </c>
      <c r="I863" t="s">
        <v>2548</v>
      </c>
      <c r="J863" t="str">
        <f>"9781292022017"</f>
        <v>9781292022017</v>
      </c>
      <c r="K863" t="str">
        <f>"9781292035222"</f>
        <v>9781292035222</v>
      </c>
      <c r="L863" t="s">
        <v>25</v>
      </c>
      <c r="M863" t="s">
        <v>15</v>
      </c>
    </row>
    <row r="864" spans="1:13" x14ac:dyDescent="0.15">
      <c r="A864">
        <v>5139039</v>
      </c>
      <c r="B864" t="s">
        <v>2549</v>
      </c>
      <c r="C864" s="1">
        <v>41466</v>
      </c>
      <c r="D864">
        <v>4</v>
      </c>
      <c r="F864" t="s">
        <v>2550</v>
      </c>
      <c r="G864" t="s">
        <v>36</v>
      </c>
      <c r="H864" t="s">
        <v>18</v>
      </c>
      <c r="I864" t="s">
        <v>2551</v>
      </c>
      <c r="J864" t="str">
        <f>"9781292020860"</f>
        <v>9781292020860</v>
      </c>
      <c r="K864" t="str">
        <f>"9781292034119"</f>
        <v>9781292034119</v>
      </c>
      <c r="L864" t="s">
        <v>25</v>
      </c>
      <c r="M864" t="s">
        <v>15</v>
      </c>
    </row>
    <row r="865" spans="1:13" x14ac:dyDescent="0.15">
      <c r="A865">
        <v>5139049</v>
      </c>
      <c r="B865" t="s">
        <v>2552</v>
      </c>
      <c r="C865" s="1">
        <v>41478</v>
      </c>
      <c r="D865">
        <v>2</v>
      </c>
      <c r="F865" t="s">
        <v>2553</v>
      </c>
      <c r="G865" t="s">
        <v>36</v>
      </c>
      <c r="H865" t="s">
        <v>18</v>
      </c>
      <c r="I865" t="s">
        <v>2554</v>
      </c>
      <c r="J865" t="str">
        <f>"9781292025285"</f>
        <v>9781292025285</v>
      </c>
      <c r="K865" t="str">
        <f>"9781292037844"</f>
        <v>9781292037844</v>
      </c>
      <c r="L865" t="s">
        <v>25</v>
      </c>
      <c r="M865" t="s">
        <v>15</v>
      </c>
    </row>
    <row r="866" spans="1:13" x14ac:dyDescent="0.15">
      <c r="A866">
        <v>5139051</v>
      </c>
      <c r="B866" t="s">
        <v>2555</v>
      </c>
      <c r="C866" s="1">
        <v>41365</v>
      </c>
      <c r="D866">
        <v>17</v>
      </c>
      <c r="F866" t="s">
        <v>2556</v>
      </c>
      <c r="G866" t="s">
        <v>117</v>
      </c>
      <c r="H866" t="s">
        <v>18</v>
      </c>
      <c r="I866" t="s">
        <v>2557</v>
      </c>
      <c r="J866" t="str">
        <f>"9781408295274"</f>
        <v>9781408295274</v>
      </c>
      <c r="K866" t="str">
        <f>"9781408296059"</f>
        <v>9781408296059</v>
      </c>
      <c r="L866" t="s">
        <v>25</v>
      </c>
      <c r="M866" t="s">
        <v>15</v>
      </c>
    </row>
    <row r="867" spans="1:13" x14ac:dyDescent="0.15">
      <c r="A867">
        <v>5139054</v>
      </c>
      <c r="B867" t="s">
        <v>2558</v>
      </c>
      <c r="C867" s="1">
        <v>41584</v>
      </c>
      <c r="D867">
        <v>7</v>
      </c>
      <c r="F867" t="s">
        <v>2559</v>
      </c>
      <c r="H867" t="s">
        <v>18</v>
      </c>
      <c r="I867" t="s">
        <v>2560</v>
      </c>
      <c r="J867" t="str">
        <f>""</f>
        <v/>
      </c>
      <c r="K867" t="str">
        <f>"9780273787303"</f>
        <v>9780273787303</v>
      </c>
      <c r="L867" t="s">
        <v>25</v>
      </c>
      <c r="M867" t="s">
        <v>15</v>
      </c>
    </row>
    <row r="868" spans="1:13" x14ac:dyDescent="0.15">
      <c r="A868">
        <v>5139055</v>
      </c>
      <c r="B868" t="s">
        <v>2561</v>
      </c>
      <c r="C868" s="1">
        <v>41478</v>
      </c>
      <c r="D868">
        <v>6</v>
      </c>
      <c r="F868" t="s">
        <v>2562</v>
      </c>
      <c r="G868" t="s">
        <v>22</v>
      </c>
      <c r="H868" t="s">
        <v>18</v>
      </c>
      <c r="I868" t="s">
        <v>2563</v>
      </c>
      <c r="J868" t="str">
        <f>"9781292024585"</f>
        <v>9781292024585</v>
      </c>
      <c r="K868" t="str">
        <f>"9781292037325"</f>
        <v>9781292037325</v>
      </c>
      <c r="L868" t="s">
        <v>25</v>
      </c>
      <c r="M868" t="s">
        <v>15</v>
      </c>
    </row>
    <row r="869" spans="1:13" x14ac:dyDescent="0.15">
      <c r="A869">
        <v>5139057</v>
      </c>
      <c r="B869" t="s">
        <v>2564</v>
      </c>
      <c r="C869" s="1">
        <v>40940</v>
      </c>
      <c r="D869">
        <v>4</v>
      </c>
      <c r="F869" t="s">
        <v>2565</v>
      </c>
      <c r="G869" t="s">
        <v>117</v>
      </c>
      <c r="H869" t="s">
        <v>18</v>
      </c>
      <c r="I869" t="s">
        <v>2566</v>
      </c>
      <c r="J869" t="str">
        <f>"9781408270479"</f>
        <v>9781408270479</v>
      </c>
      <c r="K869" t="str">
        <f>"9781408270653"</f>
        <v>9781408270653</v>
      </c>
      <c r="L869" t="s">
        <v>25</v>
      </c>
      <c r="M869" t="s">
        <v>15</v>
      </c>
    </row>
    <row r="870" spans="1:13" x14ac:dyDescent="0.15">
      <c r="A870">
        <v>5139058</v>
      </c>
      <c r="B870" t="s">
        <v>2567</v>
      </c>
      <c r="C870" s="1">
        <v>41579</v>
      </c>
      <c r="D870">
        <v>6</v>
      </c>
      <c r="F870" t="s">
        <v>2568</v>
      </c>
      <c r="G870" t="s">
        <v>304</v>
      </c>
      <c r="H870" t="s">
        <v>18</v>
      </c>
      <c r="I870" t="s">
        <v>2569</v>
      </c>
      <c r="J870" t="str">
        <f>"9781292041759"</f>
        <v>9781292041759</v>
      </c>
      <c r="K870" t="str">
        <f>"9781292056005"</f>
        <v>9781292056005</v>
      </c>
      <c r="L870" t="s">
        <v>25</v>
      </c>
      <c r="M870" t="s">
        <v>15</v>
      </c>
    </row>
    <row r="871" spans="1:13" x14ac:dyDescent="0.15">
      <c r="A871">
        <v>5139059</v>
      </c>
      <c r="B871" t="s">
        <v>2570</v>
      </c>
      <c r="C871" s="1">
        <v>40567</v>
      </c>
      <c r="D871">
        <v>1</v>
      </c>
      <c r="F871" t="s">
        <v>2571</v>
      </c>
      <c r="H871" t="s">
        <v>18</v>
      </c>
      <c r="I871" t="s">
        <v>2572</v>
      </c>
      <c r="J871" t="str">
        <f>""</f>
        <v/>
      </c>
      <c r="K871" t="str">
        <f>"9780273742531"</f>
        <v>9780273742531</v>
      </c>
      <c r="L871" t="s">
        <v>25</v>
      </c>
      <c r="M871" t="s">
        <v>112</v>
      </c>
    </row>
    <row r="872" spans="1:13" x14ac:dyDescent="0.15">
      <c r="A872">
        <v>5139067</v>
      </c>
      <c r="B872" t="s">
        <v>968</v>
      </c>
      <c r="C872" s="1">
        <v>41484</v>
      </c>
      <c r="D872">
        <v>3</v>
      </c>
      <c r="F872" t="s">
        <v>2573</v>
      </c>
      <c r="G872" t="s">
        <v>65</v>
      </c>
      <c r="H872" t="s">
        <v>18</v>
      </c>
      <c r="I872" t="s">
        <v>2574</v>
      </c>
      <c r="J872" t="str">
        <f>"9781292022710"</f>
        <v>9781292022710</v>
      </c>
      <c r="K872" t="str">
        <f>"9781292035918"</f>
        <v>9781292035918</v>
      </c>
      <c r="L872" t="s">
        <v>25</v>
      </c>
      <c r="M872" t="s">
        <v>15</v>
      </c>
    </row>
    <row r="873" spans="1:13" x14ac:dyDescent="0.15">
      <c r="A873">
        <v>5139070</v>
      </c>
      <c r="B873" t="s">
        <v>2575</v>
      </c>
      <c r="C873" s="1">
        <v>41579</v>
      </c>
      <c r="D873">
        <v>3</v>
      </c>
      <c r="F873" t="s">
        <v>2576</v>
      </c>
      <c r="G873" t="s">
        <v>2577</v>
      </c>
      <c r="H873" t="s">
        <v>18</v>
      </c>
      <c r="I873" t="s">
        <v>2578</v>
      </c>
      <c r="J873" t="str">
        <f>"9781292040059"</f>
        <v>9781292040059</v>
      </c>
      <c r="K873" t="str">
        <f>"9781292056012"</f>
        <v>9781292056012</v>
      </c>
      <c r="L873" t="s">
        <v>25</v>
      </c>
      <c r="M873" t="s">
        <v>15</v>
      </c>
    </row>
    <row r="874" spans="1:13" x14ac:dyDescent="0.15">
      <c r="A874">
        <v>5139073</v>
      </c>
      <c r="B874" t="s">
        <v>2579</v>
      </c>
      <c r="C874" s="1">
        <v>40664</v>
      </c>
      <c r="D874">
        <v>2</v>
      </c>
      <c r="F874" t="s">
        <v>2580</v>
      </c>
      <c r="G874" t="s">
        <v>304</v>
      </c>
      <c r="H874" t="s">
        <v>18</v>
      </c>
      <c r="I874" t="s">
        <v>2581</v>
      </c>
      <c r="J874" t="str">
        <f>"9781408244708"</f>
        <v>9781408244708</v>
      </c>
      <c r="K874" t="str">
        <f>"9781408244722"</f>
        <v>9781408244722</v>
      </c>
      <c r="L874" t="s">
        <v>25</v>
      </c>
      <c r="M874" t="s">
        <v>147</v>
      </c>
    </row>
    <row r="875" spans="1:13" x14ac:dyDescent="0.15">
      <c r="A875">
        <v>5139076</v>
      </c>
      <c r="B875" t="s">
        <v>2582</v>
      </c>
      <c r="C875" s="1">
        <v>41471</v>
      </c>
      <c r="D875">
        <v>2</v>
      </c>
      <c r="F875" t="s">
        <v>2583</v>
      </c>
      <c r="G875" t="s">
        <v>1412</v>
      </c>
      <c r="H875" t="s">
        <v>18</v>
      </c>
      <c r="I875" t="s">
        <v>2584</v>
      </c>
      <c r="J875" t="str">
        <f>"9781292021539"</f>
        <v>9781292021539</v>
      </c>
      <c r="K875" t="str">
        <f>"9781292034768"</f>
        <v>9781292034768</v>
      </c>
      <c r="L875" t="s">
        <v>25</v>
      </c>
      <c r="M875" t="s">
        <v>15</v>
      </c>
    </row>
    <row r="876" spans="1:13" x14ac:dyDescent="0.15">
      <c r="A876">
        <v>5139082</v>
      </c>
      <c r="B876" t="s">
        <v>2585</v>
      </c>
      <c r="C876" s="1">
        <v>41487</v>
      </c>
      <c r="D876">
        <v>11</v>
      </c>
      <c r="F876" t="s">
        <v>2586</v>
      </c>
      <c r="G876" t="s">
        <v>395</v>
      </c>
      <c r="H876" t="s">
        <v>18</v>
      </c>
      <c r="I876" t="s">
        <v>2587</v>
      </c>
      <c r="J876" t="str">
        <f>"9781292022765"</f>
        <v>9781292022765</v>
      </c>
      <c r="K876" t="str">
        <f>"9781292035963"</f>
        <v>9781292035963</v>
      </c>
      <c r="L876" t="s">
        <v>25</v>
      </c>
      <c r="M876" t="s">
        <v>15</v>
      </c>
    </row>
    <row r="877" spans="1:13" x14ac:dyDescent="0.15">
      <c r="A877">
        <v>5139087</v>
      </c>
      <c r="B877" t="s">
        <v>2588</v>
      </c>
      <c r="C877" s="1">
        <v>40952</v>
      </c>
      <c r="D877">
        <v>2</v>
      </c>
      <c r="F877" t="s">
        <v>2589</v>
      </c>
      <c r="G877" t="s">
        <v>65</v>
      </c>
      <c r="H877" t="s">
        <v>18</v>
      </c>
      <c r="I877" t="s">
        <v>2590</v>
      </c>
      <c r="J877" t="str">
        <f>"9780273759805"</f>
        <v>9780273759805</v>
      </c>
      <c r="K877" t="str">
        <f>"9780273759812"</f>
        <v>9780273759812</v>
      </c>
      <c r="L877" t="s">
        <v>25</v>
      </c>
      <c r="M877" t="s">
        <v>15</v>
      </c>
    </row>
    <row r="878" spans="1:13" x14ac:dyDescent="0.15">
      <c r="A878">
        <v>5139089</v>
      </c>
      <c r="B878" t="s">
        <v>2591</v>
      </c>
      <c r="C878" s="1">
        <v>40603</v>
      </c>
      <c r="D878">
        <v>3</v>
      </c>
      <c r="F878" t="s">
        <v>2592</v>
      </c>
      <c r="G878" t="s">
        <v>2593</v>
      </c>
      <c r="H878" t="s">
        <v>18</v>
      </c>
      <c r="I878" t="s">
        <v>2594</v>
      </c>
      <c r="J878" t="str">
        <f>"9780273730682"</f>
        <v>9780273730682</v>
      </c>
      <c r="K878" t="str">
        <f>"9780273730705"</f>
        <v>9780273730705</v>
      </c>
      <c r="L878" t="s">
        <v>25</v>
      </c>
      <c r="M878" t="s">
        <v>112</v>
      </c>
    </row>
    <row r="879" spans="1:13" x14ac:dyDescent="0.15">
      <c r="A879">
        <v>5139093</v>
      </c>
      <c r="B879" t="s">
        <v>2595</v>
      </c>
      <c r="C879" s="1">
        <v>41122</v>
      </c>
      <c r="D879">
        <v>2</v>
      </c>
      <c r="F879" t="s">
        <v>2596</v>
      </c>
      <c r="G879" t="s">
        <v>27</v>
      </c>
      <c r="H879" t="s">
        <v>18</v>
      </c>
      <c r="I879" t="s">
        <v>2597</v>
      </c>
      <c r="J879" t="str">
        <f>"9781408257500"</f>
        <v>9781408257500</v>
      </c>
      <c r="K879" t="str">
        <f>"9781408257517"</f>
        <v>9781408257517</v>
      </c>
      <c r="L879" t="s">
        <v>25</v>
      </c>
      <c r="M879" t="s">
        <v>15</v>
      </c>
    </row>
    <row r="880" spans="1:13" x14ac:dyDescent="0.15">
      <c r="A880">
        <v>5139094</v>
      </c>
      <c r="B880" t="s">
        <v>2598</v>
      </c>
      <c r="C880" s="1">
        <v>41579</v>
      </c>
      <c r="D880">
        <v>1</v>
      </c>
      <c r="F880" t="s">
        <v>2599</v>
      </c>
      <c r="G880" t="s">
        <v>304</v>
      </c>
      <c r="H880" t="s">
        <v>18</v>
      </c>
      <c r="I880" t="s">
        <v>2600</v>
      </c>
      <c r="J880" t="str">
        <f>"9781292041063"</f>
        <v>9781292041063</v>
      </c>
      <c r="K880" t="str">
        <f>"9781292056067"</f>
        <v>9781292056067</v>
      </c>
      <c r="L880" t="s">
        <v>25</v>
      </c>
      <c r="M880" t="s">
        <v>15</v>
      </c>
    </row>
    <row r="881" spans="1:13" x14ac:dyDescent="0.15">
      <c r="A881">
        <v>5139096</v>
      </c>
      <c r="B881" t="s">
        <v>2601</v>
      </c>
      <c r="C881" s="1">
        <v>41579</v>
      </c>
      <c r="D881">
        <v>6</v>
      </c>
      <c r="F881" t="s">
        <v>2602</v>
      </c>
      <c r="G881" t="s">
        <v>27</v>
      </c>
      <c r="H881" t="s">
        <v>18</v>
      </c>
      <c r="I881" t="s">
        <v>2603</v>
      </c>
      <c r="J881" t="str">
        <f>"9781292041070"</f>
        <v>9781292041070</v>
      </c>
      <c r="K881" t="str">
        <f>"9781292056074"</f>
        <v>9781292056074</v>
      </c>
      <c r="L881" t="s">
        <v>25</v>
      </c>
      <c r="M881" t="s">
        <v>15</v>
      </c>
    </row>
    <row r="882" spans="1:13" x14ac:dyDescent="0.15">
      <c r="A882">
        <v>5139099</v>
      </c>
      <c r="B882" t="s">
        <v>2604</v>
      </c>
      <c r="C882" s="1">
        <v>41481</v>
      </c>
      <c r="D882">
        <v>12</v>
      </c>
      <c r="F882" t="s">
        <v>2605</v>
      </c>
      <c r="G882" t="s">
        <v>2606</v>
      </c>
      <c r="H882" t="s">
        <v>18</v>
      </c>
      <c r="I882" t="s">
        <v>2607</v>
      </c>
      <c r="J882" t="str">
        <f>"9781292020846"</f>
        <v>9781292020846</v>
      </c>
      <c r="K882" t="str">
        <f>"9781292034096"</f>
        <v>9781292034096</v>
      </c>
      <c r="L882" t="s">
        <v>25</v>
      </c>
      <c r="M882" t="s">
        <v>15</v>
      </c>
    </row>
    <row r="883" spans="1:13" x14ac:dyDescent="0.15">
      <c r="A883">
        <v>5139101</v>
      </c>
      <c r="B883" t="s">
        <v>2608</v>
      </c>
      <c r="C883" s="1">
        <v>41579</v>
      </c>
      <c r="D883">
        <v>3</v>
      </c>
      <c r="F883" t="s">
        <v>2609</v>
      </c>
      <c r="G883" t="s">
        <v>117</v>
      </c>
      <c r="H883" t="s">
        <v>18</v>
      </c>
      <c r="I883" t="s">
        <v>2610</v>
      </c>
      <c r="J883" t="str">
        <f>"9781292041773"</f>
        <v>9781292041773</v>
      </c>
      <c r="K883" t="str">
        <f>"9781292056081"</f>
        <v>9781292056081</v>
      </c>
      <c r="L883" t="s">
        <v>25</v>
      </c>
      <c r="M883" t="s">
        <v>15</v>
      </c>
    </row>
    <row r="884" spans="1:13" x14ac:dyDescent="0.15">
      <c r="A884">
        <v>5139103</v>
      </c>
      <c r="B884" t="s">
        <v>2611</v>
      </c>
      <c r="C884" s="1">
        <v>41484</v>
      </c>
      <c r="D884">
        <v>13</v>
      </c>
      <c r="F884" t="s">
        <v>2612</v>
      </c>
      <c r="G884" t="s">
        <v>1530</v>
      </c>
      <c r="H884" t="s">
        <v>18</v>
      </c>
      <c r="I884" t="s">
        <v>2613</v>
      </c>
      <c r="J884" t="str">
        <f>"9781292024394"</f>
        <v>9781292024394</v>
      </c>
      <c r="K884" t="str">
        <f>"9781292037288"</f>
        <v>9781292037288</v>
      </c>
      <c r="L884" t="s">
        <v>25</v>
      </c>
      <c r="M884" t="s">
        <v>15</v>
      </c>
    </row>
    <row r="885" spans="1:13" x14ac:dyDescent="0.15">
      <c r="A885">
        <v>5139104</v>
      </c>
      <c r="B885" t="s">
        <v>2614</v>
      </c>
      <c r="C885" s="1">
        <v>41478</v>
      </c>
      <c r="D885">
        <v>13</v>
      </c>
      <c r="F885" t="s">
        <v>2615</v>
      </c>
      <c r="G885" t="s">
        <v>1530</v>
      </c>
      <c r="H885" t="s">
        <v>18</v>
      </c>
      <c r="I885" t="s">
        <v>2616</v>
      </c>
      <c r="J885" t="str">
        <f>"9781292021874"</f>
        <v>9781292021874</v>
      </c>
      <c r="K885" t="str">
        <f>"9781292035086"</f>
        <v>9781292035086</v>
      </c>
      <c r="L885" t="s">
        <v>25</v>
      </c>
      <c r="M885" t="s">
        <v>15</v>
      </c>
    </row>
    <row r="886" spans="1:13" x14ac:dyDescent="0.15">
      <c r="A886">
        <v>5139109</v>
      </c>
      <c r="B886" t="s">
        <v>2617</v>
      </c>
      <c r="C886" s="1">
        <v>41472</v>
      </c>
      <c r="D886">
        <v>5</v>
      </c>
      <c r="F886" t="s">
        <v>2618</v>
      </c>
      <c r="G886" t="s">
        <v>189</v>
      </c>
      <c r="H886" t="s">
        <v>18</v>
      </c>
      <c r="I886" t="s">
        <v>2619</v>
      </c>
      <c r="J886" t="str">
        <f>"9781292024042"</f>
        <v>9781292024042</v>
      </c>
      <c r="K886" t="str">
        <f>"9781292037110"</f>
        <v>9781292037110</v>
      </c>
      <c r="L886" t="s">
        <v>25</v>
      </c>
      <c r="M886" t="s">
        <v>15</v>
      </c>
    </row>
    <row r="887" spans="1:13" x14ac:dyDescent="0.15">
      <c r="A887">
        <v>5139111</v>
      </c>
      <c r="B887" t="s">
        <v>2620</v>
      </c>
      <c r="C887" s="1">
        <v>41353</v>
      </c>
      <c r="D887">
        <v>1</v>
      </c>
      <c r="F887" t="s">
        <v>2621</v>
      </c>
      <c r="H887" t="s">
        <v>18</v>
      </c>
      <c r="I887" t="s">
        <v>2622</v>
      </c>
      <c r="J887" t="str">
        <f>""</f>
        <v/>
      </c>
      <c r="K887" t="str">
        <f>"9780273775454"</f>
        <v>9780273775454</v>
      </c>
      <c r="L887" t="s">
        <v>25</v>
      </c>
      <c r="M887" t="s">
        <v>298</v>
      </c>
    </row>
    <row r="888" spans="1:13" x14ac:dyDescent="0.15">
      <c r="A888">
        <v>5139113</v>
      </c>
      <c r="B888" t="s">
        <v>2623</v>
      </c>
      <c r="C888" s="1">
        <v>41579</v>
      </c>
      <c r="D888">
        <v>9</v>
      </c>
      <c r="F888" t="s">
        <v>2624</v>
      </c>
      <c r="G888" t="s">
        <v>304</v>
      </c>
      <c r="H888" t="s">
        <v>18</v>
      </c>
      <c r="I888" t="s">
        <v>2625</v>
      </c>
      <c r="J888" t="str">
        <f>"9781292040301"</f>
        <v>9781292040301</v>
      </c>
      <c r="K888" t="str">
        <f>"9781292051765"</f>
        <v>9781292051765</v>
      </c>
      <c r="L888" t="s">
        <v>25</v>
      </c>
      <c r="M888" t="s">
        <v>15</v>
      </c>
    </row>
    <row r="889" spans="1:13" x14ac:dyDescent="0.15">
      <c r="A889">
        <v>5139114</v>
      </c>
      <c r="B889" t="s">
        <v>2308</v>
      </c>
      <c r="C889" s="1">
        <v>41513</v>
      </c>
      <c r="D889">
        <v>6</v>
      </c>
      <c r="F889" t="s">
        <v>2626</v>
      </c>
      <c r="H889" t="s">
        <v>18</v>
      </c>
      <c r="I889" t="s">
        <v>2627</v>
      </c>
      <c r="J889" t="str">
        <f>"9781292021553"</f>
        <v>9781292021553</v>
      </c>
      <c r="K889" t="str">
        <f>"9781292034782"</f>
        <v>9781292034782</v>
      </c>
      <c r="L889" t="s">
        <v>25</v>
      </c>
      <c r="M889" t="s">
        <v>15</v>
      </c>
    </row>
    <row r="890" spans="1:13" x14ac:dyDescent="0.15">
      <c r="A890">
        <v>5139226</v>
      </c>
      <c r="B890" t="s">
        <v>2628</v>
      </c>
      <c r="C890" s="1">
        <v>39022</v>
      </c>
      <c r="F890" t="s">
        <v>972</v>
      </c>
      <c r="G890" t="s">
        <v>65</v>
      </c>
      <c r="H890" t="s">
        <v>18</v>
      </c>
      <c r="I890" t="s">
        <v>2629</v>
      </c>
      <c r="J890" t="str">
        <f>"9780273710219"</f>
        <v>9780273710219</v>
      </c>
      <c r="K890" t="str">
        <f>"9781405893763"</f>
        <v>9781405893763</v>
      </c>
      <c r="L890" t="s">
        <v>25</v>
      </c>
      <c r="M890" t="s">
        <v>25</v>
      </c>
    </row>
    <row r="891" spans="1:13" x14ac:dyDescent="0.15">
      <c r="A891">
        <v>5139260</v>
      </c>
      <c r="B891" t="s">
        <v>2630</v>
      </c>
      <c r="C891" s="1">
        <v>39814</v>
      </c>
      <c r="F891" t="s">
        <v>2631</v>
      </c>
      <c r="G891" t="s">
        <v>36</v>
      </c>
      <c r="H891" t="s">
        <v>18</v>
      </c>
      <c r="I891" t="s">
        <v>2632</v>
      </c>
      <c r="J891" t="str">
        <f>"9780273720454"</f>
        <v>9780273720454</v>
      </c>
      <c r="K891" t="str">
        <f>"9780273720539"</f>
        <v>9780273720539</v>
      </c>
      <c r="L891" t="s">
        <v>25</v>
      </c>
      <c r="M891" t="s">
        <v>25</v>
      </c>
    </row>
    <row r="892" spans="1:13" x14ac:dyDescent="0.15">
      <c r="A892">
        <v>5139266</v>
      </c>
      <c r="B892" t="s">
        <v>2633</v>
      </c>
      <c r="C892" s="1">
        <v>39804</v>
      </c>
      <c r="D892">
        <v>1</v>
      </c>
      <c r="F892" t="s">
        <v>2634</v>
      </c>
      <c r="G892" t="s">
        <v>478</v>
      </c>
      <c r="H892" t="s">
        <v>18</v>
      </c>
      <c r="I892" t="s">
        <v>2635</v>
      </c>
      <c r="J892" t="str">
        <f>"9780273721536"</f>
        <v>9780273721536</v>
      </c>
      <c r="K892" t="str">
        <f>"9780273729266"</f>
        <v>9780273729266</v>
      </c>
      <c r="L892" t="s">
        <v>25</v>
      </c>
      <c r="M892" t="s">
        <v>25</v>
      </c>
    </row>
    <row r="893" spans="1:13" x14ac:dyDescent="0.15">
      <c r="A893">
        <v>5139543</v>
      </c>
      <c r="B893" t="s">
        <v>2636</v>
      </c>
      <c r="C893" s="1">
        <v>39083</v>
      </c>
      <c r="F893" t="s">
        <v>2637</v>
      </c>
      <c r="G893" t="s">
        <v>1316</v>
      </c>
      <c r="H893" t="s">
        <v>18</v>
      </c>
      <c r="I893" t="s">
        <v>2638</v>
      </c>
      <c r="J893" t="str">
        <f>"9780273711780"</f>
        <v>9780273711780</v>
      </c>
      <c r="K893" t="str">
        <f>"9781408250419"</f>
        <v>9781408250419</v>
      </c>
      <c r="L893" t="s">
        <v>25</v>
      </c>
      <c r="M893" t="s">
        <v>25</v>
      </c>
    </row>
    <row r="894" spans="1:13" x14ac:dyDescent="0.15">
      <c r="A894">
        <v>5139566</v>
      </c>
      <c r="B894" t="s">
        <v>2639</v>
      </c>
      <c r="C894" s="1">
        <v>37656</v>
      </c>
      <c r="F894" t="s">
        <v>2640</v>
      </c>
      <c r="G894" t="s">
        <v>36</v>
      </c>
      <c r="H894" t="s">
        <v>18</v>
      </c>
      <c r="I894" t="s">
        <v>2641</v>
      </c>
      <c r="J894" t="str">
        <f>"9780273663607"</f>
        <v>9780273663607</v>
      </c>
      <c r="K894" t="str">
        <f>"9781405894180"</f>
        <v>9781405894180</v>
      </c>
      <c r="L894" t="s">
        <v>25</v>
      </c>
      <c r="M894" t="s">
        <v>25</v>
      </c>
    </row>
    <row r="895" spans="1:13" x14ac:dyDescent="0.15">
      <c r="A895">
        <v>5139587</v>
      </c>
      <c r="B895" t="s">
        <v>2642</v>
      </c>
      <c r="C895" s="1">
        <v>39083</v>
      </c>
      <c r="F895" t="s">
        <v>2643</v>
      </c>
      <c r="G895" t="s">
        <v>36</v>
      </c>
      <c r="H895" t="s">
        <v>18</v>
      </c>
      <c r="I895" t="s">
        <v>2644</v>
      </c>
      <c r="J895" t="str">
        <f>"9780273714231"</f>
        <v>9780273714231</v>
      </c>
      <c r="K895" t="str">
        <f>"9781408250648"</f>
        <v>9781408250648</v>
      </c>
      <c r="L895" t="s">
        <v>25</v>
      </c>
      <c r="M895" t="s">
        <v>25</v>
      </c>
    </row>
    <row r="896" spans="1:13" x14ac:dyDescent="0.15">
      <c r="A896">
        <v>5139599</v>
      </c>
      <c r="B896" t="s">
        <v>2645</v>
      </c>
      <c r="C896" s="1">
        <v>38939</v>
      </c>
      <c r="F896" t="s">
        <v>61</v>
      </c>
      <c r="G896" t="s">
        <v>202</v>
      </c>
      <c r="H896" t="s">
        <v>18</v>
      </c>
      <c r="I896" t="s">
        <v>2646</v>
      </c>
      <c r="J896" t="str">
        <f>"9780273708292"</f>
        <v>9780273708292</v>
      </c>
      <c r="K896" t="str">
        <f>"9781405894265"</f>
        <v>9781405894265</v>
      </c>
      <c r="L896" t="s">
        <v>25</v>
      </c>
      <c r="M896" t="s">
        <v>25</v>
      </c>
    </row>
    <row r="897" spans="1:13" x14ac:dyDescent="0.15">
      <c r="A897">
        <v>5139659</v>
      </c>
      <c r="B897" t="s">
        <v>2647</v>
      </c>
      <c r="C897" s="1">
        <v>39786</v>
      </c>
      <c r="D897">
        <v>2</v>
      </c>
      <c r="F897" t="s">
        <v>2648</v>
      </c>
      <c r="G897" t="s">
        <v>202</v>
      </c>
      <c r="H897" t="s">
        <v>18</v>
      </c>
      <c r="I897" t="s">
        <v>2649</v>
      </c>
      <c r="J897" t="str">
        <f>"9780273720980"</f>
        <v>9780273720980</v>
      </c>
      <c r="K897" t="str">
        <f>"9780273720997"</f>
        <v>9780273720997</v>
      </c>
      <c r="L897" t="s">
        <v>25</v>
      </c>
      <c r="M897" t="s">
        <v>25</v>
      </c>
    </row>
    <row r="898" spans="1:13" x14ac:dyDescent="0.15">
      <c r="A898">
        <v>5139660</v>
      </c>
      <c r="B898" t="s">
        <v>2650</v>
      </c>
      <c r="C898" s="1">
        <v>38718</v>
      </c>
      <c r="F898" t="s">
        <v>2651</v>
      </c>
      <c r="G898" t="s">
        <v>36</v>
      </c>
      <c r="H898" t="s">
        <v>18</v>
      </c>
      <c r="I898" t="s">
        <v>2652</v>
      </c>
      <c r="J898" t="str">
        <f>"9780273706021"</f>
        <v>9780273706021</v>
      </c>
      <c r="K898" t="str">
        <f>"9781405894081"</f>
        <v>9781405894081</v>
      </c>
      <c r="L898" t="s">
        <v>25</v>
      </c>
      <c r="M898" t="s">
        <v>25</v>
      </c>
    </row>
    <row r="899" spans="1:13" x14ac:dyDescent="0.15">
      <c r="A899">
        <v>5139685</v>
      </c>
      <c r="B899" t="s">
        <v>2653</v>
      </c>
      <c r="C899" s="1">
        <v>37769</v>
      </c>
      <c r="D899">
        <v>2</v>
      </c>
      <c r="F899" t="s">
        <v>2654</v>
      </c>
      <c r="G899" t="s">
        <v>836</v>
      </c>
      <c r="H899" t="s">
        <v>18</v>
      </c>
      <c r="I899" t="s">
        <v>2655</v>
      </c>
      <c r="J899" t="str">
        <f>"9780273662952"</f>
        <v>9780273662952</v>
      </c>
      <c r="K899" t="str">
        <f>"9781405870597"</f>
        <v>9781405870597</v>
      </c>
      <c r="L899" t="s">
        <v>25</v>
      </c>
      <c r="M899" t="s">
        <v>25</v>
      </c>
    </row>
    <row r="900" spans="1:13" x14ac:dyDescent="0.15">
      <c r="A900">
        <v>5139717</v>
      </c>
      <c r="B900" t="s">
        <v>2656</v>
      </c>
      <c r="C900" s="1">
        <v>39695</v>
      </c>
      <c r="F900" t="s">
        <v>2657</v>
      </c>
      <c r="G900" t="s">
        <v>36</v>
      </c>
      <c r="H900" t="s">
        <v>18</v>
      </c>
      <c r="I900" t="s">
        <v>2658</v>
      </c>
      <c r="J900" t="str">
        <f>"9780273718383"</f>
        <v>9780273718383</v>
      </c>
      <c r="K900" t="str">
        <f>"9780273719984"</f>
        <v>9780273719984</v>
      </c>
      <c r="L900" t="s">
        <v>25</v>
      </c>
      <c r="M900" t="s">
        <v>25</v>
      </c>
    </row>
    <row r="901" spans="1:13" x14ac:dyDescent="0.15">
      <c r="A901">
        <v>5139745</v>
      </c>
      <c r="B901" t="s">
        <v>2659</v>
      </c>
      <c r="C901" s="1">
        <v>39282</v>
      </c>
      <c r="D901">
        <v>2</v>
      </c>
      <c r="F901" t="s">
        <v>81</v>
      </c>
      <c r="G901" t="s">
        <v>36</v>
      </c>
      <c r="H901" t="s">
        <v>18</v>
      </c>
      <c r="I901" t="s">
        <v>2660</v>
      </c>
      <c r="J901" t="str">
        <f>"9780273712527"</f>
        <v>9780273712527</v>
      </c>
      <c r="K901" t="str">
        <f>"9781408212141"</f>
        <v>9781408212141</v>
      </c>
      <c r="L901" t="s">
        <v>25</v>
      </c>
      <c r="M901" t="s">
        <v>25</v>
      </c>
    </row>
    <row r="902" spans="1:13" x14ac:dyDescent="0.15">
      <c r="A902">
        <v>5139749</v>
      </c>
      <c r="B902" t="s">
        <v>2661</v>
      </c>
      <c r="C902" s="1">
        <v>40624</v>
      </c>
      <c r="D902">
        <v>3</v>
      </c>
      <c r="F902" t="s">
        <v>2662</v>
      </c>
      <c r="G902" t="s">
        <v>36</v>
      </c>
      <c r="H902" t="s">
        <v>18</v>
      </c>
      <c r="I902" t="s">
        <v>2663</v>
      </c>
      <c r="J902" t="str">
        <f>"9780273744542"</f>
        <v>9780273744542</v>
      </c>
      <c r="K902" t="str">
        <f>"9780273744672"</f>
        <v>9780273744672</v>
      </c>
      <c r="L902" t="s">
        <v>25</v>
      </c>
      <c r="M902" t="s">
        <v>30</v>
      </c>
    </row>
    <row r="903" spans="1:13" x14ac:dyDescent="0.15">
      <c r="A903">
        <v>5139750</v>
      </c>
      <c r="B903" t="s">
        <v>2664</v>
      </c>
      <c r="C903" s="1">
        <v>40634</v>
      </c>
      <c r="D903">
        <v>1</v>
      </c>
      <c r="F903" t="s">
        <v>2665</v>
      </c>
      <c r="G903" t="s">
        <v>836</v>
      </c>
      <c r="H903" t="s">
        <v>18</v>
      </c>
      <c r="I903" t="s">
        <v>2666</v>
      </c>
      <c r="J903" t="str">
        <f>"9780273744795"</f>
        <v>9780273744795</v>
      </c>
      <c r="K903" t="str">
        <f>"9780273744856"</f>
        <v>9780273744856</v>
      </c>
      <c r="L903" t="s">
        <v>25</v>
      </c>
      <c r="M903" t="s">
        <v>39</v>
      </c>
    </row>
    <row r="904" spans="1:13" x14ac:dyDescent="0.15">
      <c r="A904">
        <v>5173564</v>
      </c>
      <c r="B904" t="s">
        <v>2667</v>
      </c>
      <c r="C904" s="1">
        <v>40630</v>
      </c>
      <c r="D904">
        <v>4</v>
      </c>
      <c r="F904" t="s">
        <v>2668</v>
      </c>
      <c r="G904" t="s">
        <v>2669</v>
      </c>
      <c r="H904" t="s">
        <v>18</v>
      </c>
      <c r="I904" t="s">
        <v>2670</v>
      </c>
      <c r="J904" t="str">
        <f>"9780273719236"</f>
        <v>9780273719236</v>
      </c>
      <c r="K904" t="str">
        <f>"9780273719274"</f>
        <v>9780273719274</v>
      </c>
      <c r="L904" t="s">
        <v>14</v>
      </c>
      <c r="M904" t="s">
        <v>112</v>
      </c>
    </row>
    <row r="905" spans="1:13" x14ac:dyDescent="0.15">
      <c r="A905">
        <v>5173583</v>
      </c>
      <c r="B905" t="s">
        <v>2671</v>
      </c>
      <c r="C905" s="1">
        <v>40969</v>
      </c>
      <c r="D905">
        <v>1</v>
      </c>
      <c r="F905" t="s">
        <v>2672</v>
      </c>
      <c r="G905" t="s">
        <v>36</v>
      </c>
      <c r="H905" t="s">
        <v>18</v>
      </c>
      <c r="I905" t="s">
        <v>2673</v>
      </c>
      <c r="J905" t="str">
        <f>"9780273738831"</f>
        <v>9780273738831</v>
      </c>
      <c r="K905" t="str">
        <f>"9780273738848"</f>
        <v>9780273738848</v>
      </c>
      <c r="L905" t="s">
        <v>14</v>
      </c>
      <c r="M905" t="s">
        <v>15</v>
      </c>
    </row>
    <row r="906" spans="1:13" x14ac:dyDescent="0.15">
      <c r="A906">
        <v>5173618</v>
      </c>
      <c r="B906" t="s">
        <v>2674</v>
      </c>
      <c r="C906" s="1">
        <v>41256</v>
      </c>
      <c r="D906">
        <v>2</v>
      </c>
      <c r="F906" t="s">
        <v>2675</v>
      </c>
      <c r="G906" t="s">
        <v>65</v>
      </c>
      <c r="H906" t="s">
        <v>18</v>
      </c>
      <c r="I906" t="s">
        <v>2676</v>
      </c>
      <c r="J906" t="str">
        <f>"9780273735069"</f>
        <v>9780273735069</v>
      </c>
      <c r="K906" t="str">
        <f>"9780273735106"</f>
        <v>9780273735106</v>
      </c>
      <c r="L906" t="s">
        <v>14</v>
      </c>
      <c r="M906" t="s">
        <v>15</v>
      </c>
    </row>
    <row r="907" spans="1:13" x14ac:dyDescent="0.15">
      <c r="A907">
        <v>5173643</v>
      </c>
      <c r="B907" t="s">
        <v>2677</v>
      </c>
      <c r="C907" s="1">
        <v>41513</v>
      </c>
      <c r="D907">
        <v>2</v>
      </c>
      <c r="F907" t="s">
        <v>2678</v>
      </c>
      <c r="G907" t="s">
        <v>836</v>
      </c>
      <c r="H907" t="s">
        <v>18</v>
      </c>
      <c r="I907" t="s">
        <v>2679</v>
      </c>
      <c r="J907" t="str">
        <f>"9781292021393"</f>
        <v>9781292021393</v>
      </c>
      <c r="K907" t="str">
        <f>"9781292034621"</f>
        <v>9781292034621</v>
      </c>
      <c r="L907" t="s">
        <v>14</v>
      </c>
      <c r="M907" t="s">
        <v>15</v>
      </c>
    </row>
    <row r="908" spans="1:13" x14ac:dyDescent="0.15">
      <c r="A908">
        <v>5173668</v>
      </c>
      <c r="B908" t="s">
        <v>2680</v>
      </c>
      <c r="C908" s="1">
        <v>41494</v>
      </c>
      <c r="D908">
        <v>6</v>
      </c>
      <c r="F908" t="s">
        <v>2681</v>
      </c>
      <c r="G908" t="s">
        <v>27</v>
      </c>
      <c r="H908" t="s">
        <v>18</v>
      </c>
      <c r="I908" t="s">
        <v>2682</v>
      </c>
      <c r="J908" t="str">
        <f>"9781292021515"</f>
        <v>9781292021515</v>
      </c>
      <c r="K908" t="str">
        <f>"9781292034744"</f>
        <v>9781292034744</v>
      </c>
      <c r="L908" t="s">
        <v>14</v>
      </c>
      <c r="M908" t="s">
        <v>15</v>
      </c>
    </row>
    <row r="909" spans="1:13" x14ac:dyDescent="0.15">
      <c r="A909">
        <v>5173686</v>
      </c>
      <c r="B909" t="s">
        <v>2683</v>
      </c>
      <c r="C909" s="1">
        <v>41478</v>
      </c>
      <c r="D909">
        <v>6</v>
      </c>
      <c r="F909" t="s">
        <v>2684</v>
      </c>
      <c r="G909" t="s">
        <v>189</v>
      </c>
      <c r="H909" t="s">
        <v>18</v>
      </c>
      <c r="I909" t="s">
        <v>2685</v>
      </c>
      <c r="J909" t="str">
        <f>"9781292021317"</f>
        <v>9781292021317</v>
      </c>
      <c r="K909" t="str">
        <f>"9781292034546"</f>
        <v>9781292034546</v>
      </c>
      <c r="L909" t="s">
        <v>14</v>
      </c>
      <c r="M909" t="s">
        <v>15</v>
      </c>
    </row>
    <row r="910" spans="1:13" x14ac:dyDescent="0.15">
      <c r="A910">
        <v>5173699</v>
      </c>
      <c r="B910" t="s">
        <v>2686</v>
      </c>
      <c r="C910" s="1">
        <v>40325</v>
      </c>
      <c r="D910">
        <v>6</v>
      </c>
      <c r="F910" t="s">
        <v>2687</v>
      </c>
      <c r="G910" t="s">
        <v>344</v>
      </c>
      <c r="H910" t="s">
        <v>18</v>
      </c>
      <c r="I910" t="s">
        <v>2688</v>
      </c>
      <c r="J910" t="str">
        <f>"9780273730422"</f>
        <v>9780273730422</v>
      </c>
      <c r="K910" t="str">
        <f>"9780273730439"</f>
        <v>9780273730439</v>
      </c>
      <c r="L910" t="s">
        <v>14</v>
      </c>
      <c r="M910" t="s">
        <v>112</v>
      </c>
    </row>
    <row r="911" spans="1:13" x14ac:dyDescent="0.15">
      <c r="A911">
        <v>5173717</v>
      </c>
      <c r="B911" t="s">
        <v>2689</v>
      </c>
      <c r="C911" s="1">
        <v>41514</v>
      </c>
      <c r="D911">
        <v>12</v>
      </c>
      <c r="F911" t="s">
        <v>2690</v>
      </c>
      <c r="G911" t="s">
        <v>1006</v>
      </c>
      <c r="H911" t="s">
        <v>18</v>
      </c>
      <c r="I911" t="s">
        <v>2691</v>
      </c>
      <c r="J911" t="str">
        <f>"9781292023298"</f>
        <v>9781292023298</v>
      </c>
      <c r="K911" t="str">
        <f>"9781292036465"</f>
        <v>9781292036465</v>
      </c>
      <c r="L911" t="s">
        <v>14</v>
      </c>
      <c r="M911" t="s">
        <v>15</v>
      </c>
    </row>
    <row r="912" spans="1:13" x14ac:dyDescent="0.15">
      <c r="A912">
        <v>5173731</v>
      </c>
      <c r="B912" t="s">
        <v>2692</v>
      </c>
      <c r="C912" s="1">
        <v>41194</v>
      </c>
      <c r="D912">
        <v>3</v>
      </c>
      <c r="F912" t="s">
        <v>2693</v>
      </c>
      <c r="G912" t="s">
        <v>27</v>
      </c>
      <c r="H912" t="s">
        <v>18</v>
      </c>
      <c r="I912" t="s">
        <v>2694</v>
      </c>
      <c r="J912" t="str">
        <f>"9780273773313"</f>
        <v>9780273773313</v>
      </c>
      <c r="K912" t="str">
        <f>"9780273773344"</f>
        <v>9780273773344</v>
      </c>
      <c r="L912" t="s">
        <v>14</v>
      </c>
      <c r="M912" t="s">
        <v>15</v>
      </c>
    </row>
    <row r="913" spans="1:13" x14ac:dyDescent="0.15">
      <c r="A913">
        <v>5173742</v>
      </c>
      <c r="B913" t="s">
        <v>2695</v>
      </c>
      <c r="C913" s="1">
        <v>41472</v>
      </c>
      <c r="D913">
        <v>4</v>
      </c>
      <c r="F913" t="s">
        <v>2696</v>
      </c>
      <c r="G913" t="s">
        <v>836</v>
      </c>
      <c r="H913" t="s">
        <v>18</v>
      </c>
      <c r="I913" t="s">
        <v>2697</v>
      </c>
      <c r="J913" t="str">
        <f>"9781292021775"</f>
        <v>9781292021775</v>
      </c>
      <c r="K913" t="str">
        <f>"9781292034997"</f>
        <v>9781292034997</v>
      </c>
      <c r="L913" t="s">
        <v>14</v>
      </c>
      <c r="M913" t="s">
        <v>15</v>
      </c>
    </row>
    <row r="914" spans="1:13" x14ac:dyDescent="0.15">
      <c r="A914">
        <v>5173759</v>
      </c>
      <c r="B914" t="s">
        <v>2698</v>
      </c>
      <c r="C914" s="1">
        <v>40878</v>
      </c>
      <c r="D914">
        <v>1</v>
      </c>
      <c r="F914" t="s">
        <v>2699</v>
      </c>
      <c r="G914" t="s">
        <v>202</v>
      </c>
      <c r="H914" t="s">
        <v>18</v>
      </c>
      <c r="I914" t="s">
        <v>2700</v>
      </c>
      <c r="J914" t="str">
        <f>"9780273751250"</f>
        <v>9780273751250</v>
      </c>
      <c r="K914" t="str">
        <f>"9780273751304"</f>
        <v>9780273751304</v>
      </c>
      <c r="L914" t="s">
        <v>14</v>
      </c>
      <c r="M914" t="s">
        <v>15</v>
      </c>
    </row>
    <row r="915" spans="1:13" x14ac:dyDescent="0.15">
      <c r="A915">
        <v>5173859</v>
      </c>
      <c r="B915" t="s">
        <v>2701</v>
      </c>
      <c r="C915" s="1">
        <v>41584</v>
      </c>
      <c r="D915">
        <v>7</v>
      </c>
      <c r="F915" t="s">
        <v>2702</v>
      </c>
      <c r="G915" t="s">
        <v>2703</v>
      </c>
      <c r="H915" t="s">
        <v>18</v>
      </c>
      <c r="I915" t="s">
        <v>2704</v>
      </c>
      <c r="J915" t="str">
        <f>"9780273765608"</f>
        <v>9780273765608</v>
      </c>
      <c r="K915" t="str">
        <f>"9780273765615"</f>
        <v>9780273765615</v>
      </c>
      <c r="L915" t="s">
        <v>14</v>
      </c>
      <c r="M915" t="s">
        <v>298</v>
      </c>
    </row>
    <row r="916" spans="1:13" x14ac:dyDescent="0.15">
      <c r="A916">
        <v>5173881</v>
      </c>
      <c r="B916" t="s">
        <v>2705</v>
      </c>
      <c r="C916" s="1">
        <v>41426</v>
      </c>
      <c r="D916">
        <v>5</v>
      </c>
      <c r="F916" t="s">
        <v>2706</v>
      </c>
      <c r="G916" t="s">
        <v>2707</v>
      </c>
      <c r="H916" t="s">
        <v>18</v>
      </c>
      <c r="I916" t="s">
        <v>2708</v>
      </c>
      <c r="J916" t="str">
        <f>"9780273758273"</f>
        <v>9780273758273</v>
      </c>
      <c r="K916" t="str">
        <f>"9780273758358"</f>
        <v>9780273758358</v>
      </c>
      <c r="L916" t="s">
        <v>14</v>
      </c>
      <c r="M916" t="s">
        <v>15</v>
      </c>
    </row>
    <row r="917" spans="1:13" x14ac:dyDescent="0.15">
      <c r="A917">
        <v>5174058</v>
      </c>
      <c r="B917" t="s">
        <v>2709</v>
      </c>
      <c r="C917" s="1">
        <v>41215</v>
      </c>
      <c r="D917">
        <v>1</v>
      </c>
      <c r="F917" t="s">
        <v>2710</v>
      </c>
      <c r="G917" t="s">
        <v>65</v>
      </c>
      <c r="H917" t="s">
        <v>18</v>
      </c>
      <c r="I917" t="s">
        <v>2711</v>
      </c>
      <c r="J917" t="str">
        <f>"9780273750055"</f>
        <v>9780273750055</v>
      </c>
      <c r="K917" t="str">
        <f>"9780273750062"</f>
        <v>9780273750062</v>
      </c>
      <c r="L917" t="s">
        <v>14</v>
      </c>
      <c r="M917" t="s">
        <v>15</v>
      </c>
    </row>
    <row r="918" spans="1:13" x14ac:dyDescent="0.15">
      <c r="A918">
        <v>5174090</v>
      </c>
      <c r="B918" t="s">
        <v>2712</v>
      </c>
      <c r="C918" s="1">
        <v>40422</v>
      </c>
      <c r="D918">
        <v>2</v>
      </c>
      <c r="F918" t="s">
        <v>2713</v>
      </c>
      <c r="G918" t="s">
        <v>36</v>
      </c>
      <c r="H918" t="s">
        <v>18</v>
      </c>
      <c r="I918" t="s">
        <v>2714</v>
      </c>
      <c r="J918" t="str">
        <f>"9780273725664"</f>
        <v>9780273725664</v>
      </c>
      <c r="K918" t="str">
        <f>"9780273725671"</f>
        <v>9780273725671</v>
      </c>
      <c r="L918" t="s">
        <v>14</v>
      </c>
      <c r="M918" t="s">
        <v>39</v>
      </c>
    </row>
    <row r="919" spans="1:13" x14ac:dyDescent="0.15">
      <c r="A919">
        <v>5174152</v>
      </c>
      <c r="B919" t="s">
        <v>2715</v>
      </c>
      <c r="C919" s="1">
        <v>41299</v>
      </c>
      <c r="D919">
        <v>1</v>
      </c>
      <c r="F919" t="s">
        <v>2716</v>
      </c>
      <c r="G919" t="s">
        <v>2717</v>
      </c>
      <c r="H919" t="s">
        <v>18</v>
      </c>
      <c r="I919" t="s">
        <v>2718</v>
      </c>
      <c r="J919" t="str">
        <f>"9780273734208"</f>
        <v>9780273734208</v>
      </c>
      <c r="K919" t="str">
        <f>"9780273734215"</f>
        <v>9780273734215</v>
      </c>
      <c r="L919" t="s">
        <v>14</v>
      </c>
      <c r="M919" t="s">
        <v>15</v>
      </c>
    </row>
    <row r="920" spans="1:13" x14ac:dyDescent="0.15">
      <c r="A920">
        <v>5174156</v>
      </c>
      <c r="B920" t="s">
        <v>2719</v>
      </c>
      <c r="C920" s="1">
        <v>41455</v>
      </c>
      <c r="D920">
        <v>13</v>
      </c>
      <c r="F920" t="s">
        <v>2720</v>
      </c>
      <c r="G920" t="s">
        <v>189</v>
      </c>
      <c r="H920" t="s">
        <v>18</v>
      </c>
      <c r="I920" t="s">
        <v>2721</v>
      </c>
      <c r="J920" t="str">
        <f>"9781292022468"</f>
        <v>9781292022468</v>
      </c>
      <c r="K920" t="str">
        <f>"9781292035666"</f>
        <v>9781292035666</v>
      </c>
      <c r="L920" t="s">
        <v>14</v>
      </c>
      <c r="M920" t="s">
        <v>15</v>
      </c>
    </row>
    <row r="921" spans="1:13" x14ac:dyDescent="0.15">
      <c r="A921">
        <v>5174159</v>
      </c>
      <c r="B921" t="s">
        <v>2722</v>
      </c>
      <c r="C921" s="1">
        <v>40856</v>
      </c>
      <c r="D921">
        <v>1</v>
      </c>
      <c r="E921" t="s">
        <v>1433</v>
      </c>
      <c r="F921" t="s">
        <v>2723</v>
      </c>
      <c r="G921" t="s">
        <v>65</v>
      </c>
      <c r="H921" t="s">
        <v>18</v>
      </c>
      <c r="I921" t="s">
        <v>2724</v>
      </c>
      <c r="J921" t="str">
        <f>"9780273737285"</f>
        <v>9780273737285</v>
      </c>
      <c r="K921" t="str">
        <f>"9780273737308"</f>
        <v>9780273737308</v>
      </c>
      <c r="L921" t="s">
        <v>14</v>
      </c>
      <c r="M921" t="s">
        <v>112</v>
      </c>
    </row>
    <row r="922" spans="1:13" x14ac:dyDescent="0.15">
      <c r="A922">
        <v>5174492</v>
      </c>
      <c r="B922" t="s">
        <v>2725</v>
      </c>
      <c r="C922" s="1">
        <v>41478</v>
      </c>
      <c r="D922">
        <v>5</v>
      </c>
      <c r="F922" t="s">
        <v>2726</v>
      </c>
      <c r="G922" t="s">
        <v>2727</v>
      </c>
      <c r="H922" t="s">
        <v>18</v>
      </c>
      <c r="I922" t="s">
        <v>2728</v>
      </c>
      <c r="J922" t="str">
        <f>"9781292024813"</f>
        <v>9781292024813</v>
      </c>
      <c r="K922" t="str">
        <f>"9781292037486"</f>
        <v>9781292037486</v>
      </c>
      <c r="L922" t="s">
        <v>14</v>
      </c>
      <c r="M922" t="s">
        <v>15</v>
      </c>
    </row>
    <row r="923" spans="1:13" x14ac:dyDescent="0.15">
      <c r="A923">
        <v>5174607</v>
      </c>
      <c r="B923" t="s">
        <v>2729</v>
      </c>
      <c r="C923" s="1">
        <v>41478</v>
      </c>
      <c r="D923">
        <v>3</v>
      </c>
      <c r="F923" t="s">
        <v>2730</v>
      </c>
      <c r="G923" t="s">
        <v>221</v>
      </c>
      <c r="H923" t="s">
        <v>18</v>
      </c>
      <c r="I923" t="s">
        <v>2731</v>
      </c>
      <c r="J923" t="str">
        <f>"9781292025728"</f>
        <v>9781292025728</v>
      </c>
      <c r="K923" t="str">
        <f>"9781292038155"</f>
        <v>9781292038155</v>
      </c>
      <c r="L923" t="s">
        <v>14</v>
      </c>
      <c r="M923" t="s">
        <v>15</v>
      </c>
    </row>
    <row r="924" spans="1:13" x14ac:dyDescent="0.15">
      <c r="A924">
        <v>5174771</v>
      </c>
      <c r="B924" t="s">
        <v>2732</v>
      </c>
      <c r="C924" s="1">
        <v>41478</v>
      </c>
      <c r="D924">
        <v>4</v>
      </c>
      <c r="F924" t="s">
        <v>2733</v>
      </c>
      <c r="G924" t="s">
        <v>221</v>
      </c>
      <c r="H924" t="s">
        <v>18</v>
      </c>
      <c r="I924" t="s">
        <v>2734</v>
      </c>
      <c r="J924" t="str">
        <f>"9781292025735"</f>
        <v>9781292025735</v>
      </c>
      <c r="K924" t="str">
        <f>"9781292038162"</f>
        <v>9781292038162</v>
      </c>
      <c r="L924" t="s">
        <v>14</v>
      </c>
      <c r="M924" t="s">
        <v>15</v>
      </c>
    </row>
    <row r="925" spans="1:13" x14ac:dyDescent="0.15">
      <c r="A925">
        <v>5174790</v>
      </c>
      <c r="B925" t="s">
        <v>2735</v>
      </c>
      <c r="C925" s="1">
        <v>41550</v>
      </c>
      <c r="D925">
        <v>4</v>
      </c>
      <c r="F925" t="s">
        <v>2736</v>
      </c>
      <c r="G925" t="s">
        <v>189</v>
      </c>
      <c r="H925" t="s">
        <v>18</v>
      </c>
      <c r="I925" t="s">
        <v>2737</v>
      </c>
      <c r="J925" t="str">
        <f>"9781292040219"</f>
        <v>9781292040219</v>
      </c>
      <c r="K925" t="str">
        <f>"9781292051918"</f>
        <v>9781292051918</v>
      </c>
      <c r="L925" t="s">
        <v>14</v>
      </c>
      <c r="M925" t="s">
        <v>15</v>
      </c>
    </row>
    <row r="926" spans="1:13" x14ac:dyDescent="0.15">
      <c r="A926">
        <v>5174826</v>
      </c>
      <c r="B926" t="s">
        <v>2738</v>
      </c>
      <c r="C926" s="1">
        <v>41515</v>
      </c>
      <c r="D926">
        <v>9</v>
      </c>
      <c r="F926" t="s">
        <v>2739</v>
      </c>
      <c r="G926" t="s">
        <v>2740</v>
      </c>
      <c r="H926" t="s">
        <v>18</v>
      </c>
      <c r="I926" t="s">
        <v>2741</v>
      </c>
      <c r="J926" t="str">
        <f>"9781292025476"</f>
        <v>9781292025476</v>
      </c>
      <c r="K926" t="str">
        <f>"9781292037967"</f>
        <v>9781292037967</v>
      </c>
      <c r="L926" t="s">
        <v>14</v>
      </c>
      <c r="M926" t="s">
        <v>15</v>
      </c>
    </row>
    <row r="927" spans="1:13" x14ac:dyDescent="0.15">
      <c r="A927">
        <v>5174845</v>
      </c>
      <c r="B927" t="s">
        <v>2742</v>
      </c>
      <c r="C927" s="1">
        <v>41515</v>
      </c>
      <c r="D927">
        <v>1</v>
      </c>
      <c r="F927" t="s">
        <v>2743</v>
      </c>
      <c r="G927" t="s">
        <v>478</v>
      </c>
      <c r="H927" t="s">
        <v>18</v>
      </c>
      <c r="I927" t="s">
        <v>2744</v>
      </c>
      <c r="J927" t="str">
        <f>"9781292026152"</f>
        <v>9781292026152</v>
      </c>
      <c r="K927" t="str">
        <f>"9781292038551"</f>
        <v>9781292038551</v>
      </c>
      <c r="L927" t="s">
        <v>14</v>
      </c>
      <c r="M927" t="s">
        <v>15</v>
      </c>
    </row>
    <row r="928" spans="1:13" x14ac:dyDescent="0.15">
      <c r="A928">
        <v>5174963</v>
      </c>
      <c r="B928" t="s">
        <v>2745</v>
      </c>
      <c r="C928" s="1">
        <v>41550</v>
      </c>
      <c r="D928">
        <v>4</v>
      </c>
      <c r="F928" t="s">
        <v>2746</v>
      </c>
      <c r="G928" t="s">
        <v>17</v>
      </c>
      <c r="H928" t="s">
        <v>18</v>
      </c>
      <c r="I928" t="s">
        <v>2747</v>
      </c>
      <c r="J928" t="str">
        <f>"9781292027074"</f>
        <v>9781292027074</v>
      </c>
      <c r="K928" t="str">
        <f>"9781292054704"</f>
        <v>9781292054704</v>
      </c>
      <c r="L928" t="s">
        <v>14</v>
      </c>
      <c r="M928" t="s">
        <v>15</v>
      </c>
    </row>
    <row r="929" spans="1:13" x14ac:dyDescent="0.15">
      <c r="A929">
        <v>5175651</v>
      </c>
      <c r="B929" t="s">
        <v>2748</v>
      </c>
      <c r="C929" s="1">
        <v>41513</v>
      </c>
      <c r="D929">
        <v>13</v>
      </c>
      <c r="F929" t="s">
        <v>2749</v>
      </c>
      <c r="G929" t="s">
        <v>189</v>
      </c>
      <c r="H929" t="s">
        <v>18</v>
      </c>
      <c r="I929" t="s">
        <v>2750</v>
      </c>
      <c r="J929" t="str">
        <f>"9781292021140"</f>
        <v>9781292021140</v>
      </c>
      <c r="K929" t="str">
        <f>"9781292034386"</f>
        <v>9781292034386</v>
      </c>
      <c r="L929" t="s">
        <v>14</v>
      </c>
      <c r="M929" t="s">
        <v>15</v>
      </c>
    </row>
    <row r="930" spans="1:13" x14ac:dyDescent="0.15">
      <c r="A930">
        <v>5175714</v>
      </c>
      <c r="B930" t="s">
        <v>2751</v>
      </c>
      <c r="C930" s="1">
        <v>41513</v>
      </c>
      <c r="D930">
        <v>2</v>
      </c>
      <c r="F930" t="s">
        <v>2752</v>
      </c>
      <c r="G930" t="s">
        <v>1088</v>
      </c>
      <c r="H930" t="s">
        <v>18</v>
      </c>
      <c r="I930" t="s">
        <v>2753</v>
      </c>
      <c r="J930" t="str">
        <f>"9781292022314"</f>
        <v>9781292022314</v>
      </c>
      <c r="K930" t="str">
        <f>"9781292035512"</f>
        <v>9781292035512</v>
      </c>
      <c r="L930" t="s">
        <v>14</v>
      </c>
      <c r="M930" t="s">
        <v>15</v>
      </c>
    </row>
    <row r="931" spans="1:13" x14ac:dyDescent="0.15">
      <c r="A931">
        <v>5175740</v>
      </c>
      <c r="B931" t="s">
        <v>2754</v>
      </c>
      <c r="C931" s="1">
        <v>41472</v>
      </c>
      <c r="D931">
        <v>7</v>
      </c>
      <c r="F931" t="s">
        <v>2094</v>
      </c>
      <c r="G931" t="s">
        <v>304</v>
      </c>
      <c r="H931" t="s">
        <v>18</v>
      </c>
      <c r="I931" t="s">
        <v>2755</v>
      </c>
      <c r="J931" t="str">
        <f>"9781292020235"</f>
        <v>9781292020235</v>
      </c>
      <c r="K931" t="str">
        <f>"9781292033617"</f>
        <v>9781292033617</v>
      </c>
      <c r="L931" t="s">
        <v>14</v>
      </c>
      <c r="M931" t="s">
        <v>15</v>
      </c>
    </row>
    <row r="932" spans="1:13" x14ac:dyDescent="0.15">
      <c r="A932">
        <v>5175865</v>
      </c>
      <c r="B932" t="s">
        <v>2756</v>
      </c>
      <c r="C932" s="1">
        <v>41584</v>
      </c>
      <c r="D932">
        <v>6</v>
      </c>
      <c r="F932" t="s">
        <v>2757</v>
      </c>
      <c r="G932" t="s">
        <v>117</v>
      </c>
      <c r="H932" t="s">
        <v>18</v>
      </c>
      <c r="I932" t="s">
        <v>2758</v>
      </c>
      <c r="J932" t="str">
        <f>"9780273768616"</f>
        <v>9780273768616</v>
      </c>
      <c r="K932" t="str">
        <f>"9780273775584"</f>
        <v>9780273775584</v>
      </c>
      <c r="L932" t="s">
        <v>14</v>
      </c>
      <c r="M932" t="s">
        <v>15</v>
      </c>
    </row>
    <row r="933" spans="1:13" x14ac:dyDescent="0.15">
      <c r="A933">
        <v>5176023</v>
      </c>
      <c r="B933" t="s">
        <v>2759</v>
      </c>
      <c r="C933" s="1">
        <v>41472</v>
      </c>
      <c r="D933">
        <v>7</v>
      </c>
      <c r="F933" t="s">
        <v>2760</v>
      </c>
      <c r="G933" t="s">
        <v>2329</v>
      </c>
      <c r="H933" t="s">
        <v>18</v>
      </c>
      <c r="I933" t="s">
        <v>2761</v>
      </c>
      <c r="J933" t="str">
        <f>"9781292023304"</f>
        <v>9781292023304</v>
      </c>
      <c r="K933" t="str">
        <f>"9781292036472"</f>
        <v>9781292036472</v>
      </c>
      <c r="L933" t="s">
        <v>14</v>
      </c>
      <c r="M933" t="s">
        <v>15</v>
      </c>
    </row>
    <row r="934" spans="1:13" x14ac:dyDescent="0.15">
      <c r="A934">
        <v>5176817</v>
      </c>
      <c r="B934" t="s">
        <v>2762</v>
      </c>
      <c r="C934" s="1">
        <v>41000</v>
      </c>
      <c r="D934">
        <v>9</v>
      </c>
      <c r="F934" t="s">
        <v>2763</v>
      </c>
      <c r="G934" t="s">
        <v>117</v>
      </c>
      <c r="H934" t="s">
        <v>18</v>
      </c>
      <c r="I934" t="s">
        <v>2764</v>
      </c>
      <c r="J934" t="str">
        <f>"9781408283233"</f>
        <v>9781408283233</v>
      </c>
      <c r="K934" t="str">
        <f>"9781408283257"</f>
        <v>9781408283257</v>
      </c>
      <c r="L934" t="s">
        <v>14</v>
      </c>
      <c r="M934" t="s">
        <v>15</v>
      </c>
    </row>
    <row r="935" spans="1:13" x14ac:dyDescent="0.15">
      <c r="A935">
        <v>5185704</v>
      </c>
      <c r="B935" t="s">
        <v>2765</v>
      </c>
      <c r="C935" s="1">
        <v>41215</v>
      </c>
      <c r="D935">
        <v>3</v>
      </c>
      <c r="F935" t="s">
        <v>2766</v>
      </c>
      <c r="G935" t="s">
        <v>2767</v>
      </c>
      <c r="H935" t="s">
        <v>18</v>
      </c>
      <c r="I935" t="s">
        <v>2768</v>
      </c>
      <c r="J935" t="str">
        <f>"9780273743859"</f>
        <v>9780273743859</v>
      </c>
      <c r="K935" t="str">
        <f>"9780273743866"</f>
        <v>9780273743866</v>
      </c>
      <c r="L935" t="s">
        <v>14</v>
      </c>
      <c r="M935" t="s">
        <v>112</v>
      </c>
    </row>
    <row r="936" spans="1:13" x14ac:dyDescent="0.15">
      <c r="A936">
        <v>5185870</v>
      </c>
      <c r="B936" t="s">
        <v>2769</v>
      </c>
      <c r="C936" s="1">
        <v>41550</v>
      </c>
      <c r="D936">
        <v>9</v>
      </c>
      <c r="F936" t="s">
        <v>2770</v>
      </c>
      <c r="G936" t="s">
        <v>304</v>
      </c>
      <c r="H936" t="s">
        <v>18</v>
      </c>
      <c r="I936" t="s">
        <v>2771</v>
      </c>
      <c r="J936" t="str">
        <f>"9781292041742"</f>
        <v>9781292041742</v>
      </c>
      <c r="K936" t="str">
        <f>"9781292053400"</f>
        <v>9781292053400</v>
      </c>
      <c r="L936" t="s">
        <v>14</v>
      </c>
      <c r="M936" t="s">
        <v>15</v>
      </c>
    </row>
    <row r="937" spans="1:13" x14ac:dyDescent="0.15">
      <c r="A937">
        <v>5185903</v>
      </c>
      <c r="B937" t="s">
        <v>2772</v>
      </c>
      <c r="C937" s="1">
        <v>40456</v>
      </c>
      <c r="D937">
        <v>7</v>
      </c>
      <c r="F937" t="s">
        <v>2773</v>
      </c>
      <c r="G937" t="s">
        <v>117</v>
      </c>
      <c r="H937" t="s">
        <v>18</v>
      </c>
      <c r="I937" t="s">
        <v>2774</v>
      </c>
      <c r="J937" t="str">
        <f>"9781408218938"</f>
        <v>9781408218938</v>
      </c>
      <c r="K937" t="str">
        <f>"9781408218952"</f>
        <v>9781408218952</v>
      </c>
      <c r="L937" t="s">
        <v>14</v>
      </c>
      <c r="M937" t="s">
        <v>147</v>
      </c>
    </row>
    <row r="938" spans="1:13" x14ac:dyDescent="0.15">
      <c r="A938">
        <v>5186088</v>
      </c>
      <c r="B938" t="s">
        <v>2775</v>
      </c>
      <c r="C938" s="1">
        <v>41515</v>
      </c>
      <c r="D938">
        <v>3</v>
      </c>
      <c r="F938" t="s">
        <v>2776</v>
      </c>
      <c r="G938" t="s">
        <v>189</v>
      </c>
      <c r="H938" t="s">
        <v>18</v>
      </c>
      <c r="I938" t="s">
        <v>2777</v>
      </c>
      <c r="J938" t="str">
        <f>"9781292025988"</f>
        <v>9781292025988</v>
      </c>
      <c r="K938" t="str">
        <f>"9781292038407"</f>
        <v>9781292038407</v>
      </c>
      <c r="L938" t="s">
        <v>14</v>
      </c>
      <c r="M938" t="s">
        <v>15</v>
      </c>
    </row>
    <row r="939" spans="1:13" x14ac:dyDescent="0.15">
      <c r="A939">
        <v>5186449</v>
      </c>
      <c r="B939" t="s">
        <v>2778</v>
      </c>
      <c r="C939" s="1">
        <v>39289</v>
      </c>
      <c r="D939">
        <v>1</v>
      </c>
      <c r="F939" t="s">
        <v>2779</v>
      </c>
      <c r="G939" t="s">
        <v>27</v>
      </c>
      <c r="H939" t="s">
        <v>18</v>
      </c>
      <c r="I939" t="s">
        <v>2780</v>
      </c>
      <c r="J939" t="str">
        <f>"9781405840736"</f>
        <v>9781405840736</v>
      </c>
      <c r="K939" t="str">
        <f>"9781408251102"</f>
        <v>9781408251102</v>
      </c>
      <c r="L939" t="s">
        <v>14</v>
      </c>
      <c r="M939" t="s">
        <v>112</v>
      </c>
    </row>
    <row r="940" spans="1:13" x14ac:dyDescent="0.15">
      <c r="A940">
        <v>5248116</v>
      </c>
      <c r="B940" t="s">
        <v>2781</v>
      </c>
      <c r="C940" s="1">
        <v>41081</v>
      </c>
      <c r="D940">
        <v>3</v>
      </c>
      <c r="F940" t="s">
        <v>2782</v>
      </c>
      <c r="H940" t="s">
        <v>18</v>
      </c>
      <c r="I940" t="s">
        <v>2783</v>
      </c>
      <c r="J940" t="str">
        <f>"9780273729495"</f>
        <v>9780273729495</v>
      </c>
      <c r="K940" t="str">
        <f>"9780273729518"</f>
        <v>9780273729518</v>
      </c>
      <c r="L940" t="s">
        <v>25</v>
      </c>
      <c r="M940" t="s">
        <v>15</v>
      </c>
    </row>
    <row r="941" spans="1:13" x14ac:dyDescent="0.15">
      <c r="A941">
        <v>5248165</v>
      </c>
      <c r="B941" t="s">
        <v>2379</v>
      </c>
      <c r="C941" s="1">
        <v>41156</v>
      </c>
      <c r="D941">
        <v>6</v>
      </c>
      <c r="F941" t="s">
        <v>2784</v>
      </c>
      <c r="G941" t="s">
        <v>117</v>
      </c>
      <c r="H941" t="s">
        <v>18</v>
      </c>
      <c r="I941" t="s">
        <v>2785</v>
      </c>
      <c r="J941" t="str">
        <f>"9781408283097"</f>
        <v>9781408283097</v>
      </c>
      <c r="K941" t="str">
        <f>"9781408283110"</f>
        <v>9781408283110</v>
      </c>
      <c r="L941" t="s">
        <v>25</v>
      </c>
      <c r="M941" t="s">
        <v>15</v>
      </c>
    </row>
    <row r="942" spans="1:13" x14ac:dyDescent="0.15">
      <c r="A942">
        <v>5248167</v>
      </c>
      <c r="B942" t="s">
        <v>2786</v>
      </c>
      <c r="C942" s="1">
        <v>41194</v>
      </c>
      <c r="D942">
        <v>6</v>
      </c>
      <c r="F942" t="s">
        <v>2787</v>
      </c>
      <c r="H942" t="s">
        <v>18</v>
      </c>
      <c r="I942" t="s">
        <v>2788</v>
      </c>
      <c r="J942" t="str">
        <f>"9780273760979"</f>
        <v>9780273760979</v>
      </c>
      <c r="K942" t="str">
        <f>"9780273761006"</f>
        <v>9780273761006</v>
      </c>
      <c r="L942" t="s">
        <v>25</v>
      </c>
      <c r="M942" t="s">
        <v>15</v>
      </c>
    </row>
    <row r="943" spans="1:13" x14ac:dyDescent="0.15">
      <c r="A943">
        <v>5248168</v>
      </c>
      <c r="B943" t="s">
        <v>2789</v>
      </c>
      <c r="C943" s="1">
        <v>41194</v>
      </c>
      <c r="D943">
        <v>3</v>
      </c>
      <c r="F943" t="s">
        <v>144</v>
      </c>
      <c r="G943" t="s">
        <v>117</v>
      </c>
      <c r="H943" t="s">
        <v>18</v>
      </c>
      <c r="I943" t="s">
        <v>2790</v>
      </c>
      <c r="J943" t="str">
        <f>"9781408271551"</f>
        <v>9781408271551</v>
      </c>
      <c r="K943" t="str">
        <f>"9781408271575"</f>
        <v>9781408271575</v>
      </c>
      <c r="L943" t="s">
        <v>25</v>
      </c>
      <c r="M943" t="s">
        <v>15</v>
      </c>
    </row>
    <row r="944" spans="1:13" x14ac:dyDescent="0.15">
      <c r="A944">
        <v>5248170</v>
      </c>
      <c r="B944" t="s">
        <v>2791</v>
      </c>
      <c r="C944" s="1">
        <v>41215</v>
      </c>
      <c r="D944">
        <v>1</v>
      </c>
      <c r="F944" t="s">
        <v>2000</v>
      </c>
      <c r="H944" t="s">
        <v>18</v>
      </c>
      <c r="I944" t="s">
        <v>2792</v>
      </c>
      <c r="J944" t="str">
        <f>"9780273731153"</f>
        <v>9780273731153</v>
      </c>
      <c r="K944" t="str">
        <f>"9780273731214"</f>
        <v>9780273731214</v>
      </c>
      <c r="L944" t="s">
        <v>25</v>
      </c>
      <c r="M944" t="s">
        <v>112</v>
      </c>
    </row>
    <row r="945" spans="1:13" x14ac:dyDescent="0.15">
      <c r="A945">
        <v>5248171</v>
      </c>
      <c r="B945" t="s">
        <v>2793</v>
      </c>
      <c r="C945" s="1">
        <v>41215</v>
      </c>
      <c r="D945">
        <v>1</v>
      </c>
      <c r="F945" t="s">
        <v>1792</v>
      </c>
      <c r="H945" t="s">
        <v>18</v>
      </c>
      <c r="I945" t="s">
        <v>2794</v>
      </c>
      <c r="J945" t="str">
        <f>"9780273743750"</f>
        <v>9780273743750</v>
      </c>
      <c r="K945" t="str">
        <f>"9780273743767"</f>
        <v>9780273743767</v>
      </c>
      <c r="L945" t="s">
        <v>25</v>
      </c>
      <c r="M945" t="s">
        <v>112</v>
      </c>
    </row>
    <row r="946" spans="1:13" x14ac:dyDescent="0.15">
      <c r="A946">
        <v>5248175</v>
      </c>
      <c r="B946" t="s">
        <v>2795</v>
      </c>
      <c r="C946" s="1">
        <v>41215</v>
      </c>
      <c r="D946">
        <v>7</v>
      </c>
      <c r="F946" t="s">
        <v>2796</v>
      </c>
      <c r="G946" t="s">
        <v>117</v>
      </c>
      <c r="H946" t="s">
        <v>18</v>
      </c>
      <c r="I946" t="s">
        <v>2797</v>
      </c>
      <c r="J946" t="str">
        <f>"9781408287019"</f>
        <v>9781408287019</v>
      </c>
      <c r="K946" t="str">
        <f>"9781408287033"</f>
        <v>9781408287033</v>
      </c>
      <c r="L946" t="s">
        <v>25</v>
      </c>
      <c r="M946" t="s">
        <v>15</v>
      </c>
    </row>
    <row r="947" spans="1:13" x14ac:dyDescent="0.15">
      <c r="A947">
        <v>5248176</v>
      </c>
      <c r="B947" t="s">
        <v>2798</v>
      </c>
      <c r="C947" s="1">
        <v>41215</v>
      </c>
      <c r="D947">
        <v>1</v>
      </c>
      <c r="F947" t="s">
        <v>2799</v>
      </c>
      <c r="H947" t="s">
        <v>18</v>
      </c>
      <c r="I947" t="s">
        <v>2800</v>
      </c>
      <c r="J947" t="str">
        <f>"9780273749936"</f>
        <v>9780273749936</v>
      </c>
      <c r="K947" t="str">
        <f>"9780273749943"</f>
        <v>9780273749943</v>
      </c>
      <c r="L947" t="s">
        <v>25</v>
      </c>
      <c r="M947" t="s">
        <v>112</v>
      </c>
    </row>
    <row r="948" spans="1:13" x14ac:dyDescent="0.15">
      <c r="A948">
        <v>5248190</v>
      </c>
      <c r="B948" t="s">
        <v>2801</v>
      </c>
      <c r="C948" s="1">
        <v>41290</v>
      </c>
      <c r="D948">
        <v>2</v>
      </c>
      <c r="F948" t="s">
        <v>99</v>
      </c>
      <c r="H948" t="s">
        <v>18</v>
      </c>
      <c r="I948" t="s">
        <v>2802</v>
      </c>
      <c r="J948" t="str">
        <f>"9781447929499"</f>
        <v>9781447929499</v>
      </c>
      <c r="K948" t="str">
        <f>"9781447929864"</f>
        <v>9781447929864</v>
      </c>
      <c r="L948" t="s">
        <v>25</v>
      </c>
      <c r="M948" t="s">
        <v>15</v>
      </c>
    </row>
    <row r="949" spans="1:13" x14ac:dyDescent="0.15">
      <c r="A949">
        <v>5248195</v>
      </c>
      <c r="B949" t="s">
        <v>2803</v>
      </c>
      <c r="C949" s="1">
        <v>41319</v>
      </c>
      <c r="D949">
        <v>1</v>
      </c>
      <c r="F949" t="s">
        <v>2804</v>
      </c>
      <c r="H949" t="s">
        <v>18</v>
      </c>
      <c r="I949" t="s">
        <v>2805</v>
      </c>
      <c r="J949" t="str">
        <f>"9780273735151"</f>
        <v>9780273735151</v>
      </c>
      <c r="K949" t="str">
        <f>"9780273737186"</f>
        <v>9780273737186</v>
      </c>
      <c r="L949" t="s">
        <v>25</v>
      </c>
      <c r="M949" t="s">
        <v>15</v>
      </c>
    </row>
    <row r="950" spans="1:13" x14ac:dyDescent="0.15">
      <c r="A950">
        <v>5248198</v>
      </c>
      <c r="B950" t="s">
        <v>2806</v>
      </c>
      <c r="C950" s="1">
        <v>41312</v>
      </c>
      <c r="D950">
        <v>4</v>
      </c>
      <c r="F950" t="s">
        <v>2807</v>
      </c>
      <c r="H950" t="s">
        <v>18</v>
      </c>
      <c r="I950" t="s">
        <v>2808</v>
      </c>
      <c r="J950" t="str">
        <f>"9780321417534"</f>
        <v>9780321417534</v>
      </c>
      <c r="K950" t="str">
        <f>"9780273760375"</f>
        <v>9780273760375</v>
      </c>
      <c r="L950" t="s">
        <v>25</v>
      </c>
      <c r="M950" t="s">
        <v>294</v>
      </c>
    </row>
    <row r="951" spans="1:13" x14ac:dyDescent="0.15">
      <c r="A951">
        <v>5248200</v>
      </c>
      <c r="B951" t="s">
        <v>2809</v>
      </c>
      <c r="C951" s="1">
        <v>41311</v>
      </c>
      <c r="D951">
        <v>1</v>
      </c>
      <c r="F951" t="s">
        <v>2000</v>
      </c>
      <c r="H951" t="s">
        <v>18</v>
      </c>
      <c r="I951" t="s">
        <v>2810</v>
      </c>
      <c r="J951" t="str">
        <f>"9780273773320"</f>
        <v>9780273773320</v>
      </c>
      <c r="K951" t="str">
        <f>"9780273773351"</f>
        <v>9780273773351</v>
      </c>
      <c r="L951" t="s">
        <v>25</v>
      </c>
      <c r="M951" t="s">
        <v>15</v>
      </c>
    </row>
    <row r="952" spans="1:13" x14ac:dyDescent="0.15">
      <c r="A952">
        <v>5248202</v>
      </c>
      <c r="B952" t="s">
        <v>2811</v>
      </c>
      <c r="C952" s="1">
        <v>41311</v>
      </c>
      <c r="D952">
        <v>1</v>
      </c>
      <c r="F952" t="s">
        <v>2812</v>
      </c>
      <c r="H952" t="s">
        <v>18</v>
      </c>
      <c r="I952" t="s">
        <v>2813</v>
      </c>
      <c r="J952" t="str">
        <f>"9781408241318"</f>
        <v>9781408241318</v>
      </c>
      <c r="K952" t="str">
        <f>"9781408241332"</f>
        <v>9781408241332</v>
      </c>
      <c r="L952" t="s">
        <v>25</v>
      </c>
      <c r="M952" t="s">
        <v>15</v>
      </c>
    </row>
    <row r="953" spans="1:13" x14ac:dyDescent="0.15">
      <c r="A953">
        <v>5248203</v>
      </c>
      <c r="B953" t="s">
        <v>2814</v>
      </c>
      <c r="C953" s="1">
        <v>41311</v>
      </c>
      <c r="D953">
        <v>3</v>
      </c>
      <c r="F953" t="s">
        <v>2815</v>
      </c>
      <c r="H953" t="s">
        <v>18</v>
      </c>
      <c r="I953" t="s">
        <v>2816</v>
      </c>
      <c r="J953" t="str">
        <f>"9781447905141"</f>
        <v>9781447905141</v>
      </c>
      <c r="K953" t="str">
        <f>"9781447905165"</f>
        <v>9781447905165</v>
      </c>
      <c r="L953" t="s">
        <v>25</v>
      </c>
      <c r="M953" t="s">
        <v>15</v>
      </c>
    </row>
    <row r="954" spans="1:13" x14ac:dyDescent="0.15">
      <c r="A954">
        <v>5248207</v>
      </c>
      <c r="B954" t="s">
        <v>2817</v>
      </c>
      <c r="C954" s="1">
        <v>41339</v>
      </c>
      <c r="D954">
        <v>12</v>
      </c>
      <c r="F954" t="s">
        <v>2818</v>
      </c>
      <c r="H954" t="s">
        <v>18</v>
      </c>
      <c r="I954" t="s">
        <v>2819</v>
      </c>
      <c r="J954" t="str">
        <f>""</f>
        <v/>
      </c>
      <c r="K954" t="str">
        <f>"9781447930341"</f>
        <v>9781447930341</v>
      </c>
      <c r="L954" t="s">
        <v>25</v>
      </c>
      <c r="M954" t="s">
        <v>298</v>
      </c>
    </row>
    <row r="955" spans="1:13" x14ac:dyDescent="0.15">
      <c r="A955">
        <v>5248208</v>
      </c>
      <c r="B955" t="s">
        <v>2820</v>
      </c>
      <c r="C955" s="1">
        <v>41339</v>
      </c>
      <c r="D955">
        <v>14</v>
      </c>
      <c r="F955" t="s">
        <v>2821</v>
      </c>
      <c r="H955" t="s">
        <v>18</v>
      </c>
      <c r="I955" t="s">
        <v>2822</v>
      </c>
      <c r="J955" t="str">
        <f>"9780273753872"</f>
        <v>9780273753872</v>
      </c>
      <c r="K955" t="str">
        <f>"9781447930297"</f>
        <v>9781447930297</v>
      </c>
      <c r="L955" t="s">
        <v>25</v>
      </c>
      <c r="M955" t="s">
        <v>298</v>
      </c>
    </row>
    <row r="956" spans="1:13" x14ac:dyDescent="0.15">
      <c r="A956">
        <v>5248210</v>
      </c>
      <c r="B956" t="s">
        <v>2823</v>
      </c>
      <c r="C956" s="1">
        <v>41353</v>
      </c>
      <c r="D956">
        <v>2</v>
      </c>
      <c r="F956" t="s">
        <v>2824</v>
      </c>
      <c r="H956" t="s">
        <v>18</v>
      </c>
      <c r="I956" t="s">
        <v>2825</v>
      </c>
      <c r="J956" t="str">
        <f>""</f>
        <v/>
      </c>
      <c r="K956" t="str">
        <f>"9780273774358"</f>
        <v>9780273774358</v>
      </c>
      <c r="L956" t="s">
        <v>25</v>
      </c>
      <c r="M956" t="s">
        <v>298</v>
      </c>
    </row>
    <row r="957" spans="1:13" x14ac:dyDescent="0.15">
      <c r="A957">
        <v>5248211</v>
      </c>
      <c r="B957" t="s">
        <v>2826</v>
      </c>
      <c r="C957" s="1">
        <v>41353</v>
      </c>
      <c r="D957">
        <v>6</v>
      </c>
      <c r="F957" t="s">
        <v>2827</v>
      </c>
      <c r="H957" t="s">
        <v>18</v>
      </c>
      <c r="I957" t="s">
        <v>2828</v>
      </c>
      <c r="J957" t="str">
        <f>"9780273774501"</f>
        <v>9780273774501</v>
      </c>
      <c r="K957" t="str">
        <f>"9780273774518"</f>
        <v>9780273774518</v>
      </c>
      <c r="L957" t="s">
        <v>25</v>
      </c>
      <c r="M957" t="s">
        <v>298</v>
      </c>
    </row>
    <row r="958" spans="1:13" x14ac:dyDescent="0.15">
      <c r="A958">
        <v>5248215</v>
      </c>
      <c r="B958" t="s">
        <v>2829</v>
      </c>
      <c r="C958" s="1">
        <v>41393</v>
      </c>
      <c r="D958">
        <v>5</v>
      </c>
      <c r="F958" t="s">
        <v>2830</v>
      </c>
      <c r="H958" t="s">
        <v>18</v>
      </c>
      <c r="I958" t="s">
        <v>2831</v>
      </c>
      <c r="J958" t="str">
        <f>"9780273772729"</f>
        <v>9780273772729</v>
      </c>
      <c r="K958" t="str">
        <f>"9780273772750"</f>
        <v>9780273772750</v>
      </c>
      <c r="L958" t="s">
        <v>25</v>
      </c>
      <c r="M958" t="s">
        <v>15</v>
      </c>
    </row>
    <row r="959" spans="1:13" x14ac:dyDescent="0.15">
      <c r="A959">
        <v>5248219</v>
      </c>
      <c r="B959" t="s">
        <v>2832</v>
      </c>
      <c r="C959" s="1">
        <v>41436</v>
      </c>
      <c r="D959">
        <v>4</v>
      </c>
      <c r="F959" t="s">
        <v>2833</v>
      </c>
      <c r="H959" t="s">
        <v>18</v>
      </c>
      <c r="I959" t="s">
        <v>2834</v>
      </c>
      <c r="J959" t="str">
        <f>"9780273757825"</f>
        <v>9780273757825</v>
      </c>
      <c r="K959" t="str">
        <f>"9780273757863"</f>
        <v>9780273757863</v>
      </c>
      <c r="L959" t="s">
        <v>25</v>
      </c>
      <c r="M959" t="s">
        <v>15</v>
      </c>
    </row>
    <row r="960" spans="1:13" x14ac:dyDescent="0.15">
      <c r="A960">
        <v>5248220</v>
      </c>
      <c r="B960" t="s">
        <v>2835</v>
      </c>
      <c r="C960" s="1">
        <v>41459</v>
      </c>
      <c r="D960">
        <v>5</v>
      </c>
      <c r="F960" t="s">
        <v>2836</v>
      </c>
      <c r="H960" t="s">
        <v>18</v>
      </c>
      <c r="I960" t="s">
        <v>2837</v>
      </c>
      <c r="J960" t="str">
        <f>"9780273773221"</f>
        <v>9780273773221</v>
      </c>
      <c r="K960" t="str">
        <f>"9780273773245"</f>
        <v>9780273773245</v>
      </c>
      <c r="L960" t="s">
        <v>25</v>
      </c>
      <c r="M960" t="s">
        <v>15</v>
      </c>
    </row>
    <row r="961" spans="1:13" x14ac:dyDescent="0.15">
      <c r="A961">
        <v>5248234</v>
      </c>
      <c r="B961" t="s">
        <v>2838</v>
      </c>
      <c r="C961" s="1">
        <v>41513</v>
      </c>
      <c r="D961">
        <v>14</v>
      </c>
      <c r="F961" t="s">
        <v>451</v>
      </c>
      <c r="G961" t="s">
        <v>117</v>
      </c>
      <c r="H961" t="s">
        <v>18</v>
      </c>
      <c r="I961" t="s">
        <v>2839</v>
      </c>
      <c r="J961" t="str">
        <f>"9780273784388"</f>
        <v>9780273784388</v>
      </c>
      <c r="K961" t="str">
        <f>"9780273784432"</f>
        <v>9780273784432</v>
      </c>
      <c r="L961" t="s">
        <v>25</v>
      </c>
      <c r="M961" t="s">
        <v>15</v>
      </c>
    </row>
    <row r="962" spans="1:13" x14ac:dyDescent="0.15">
      <c r="A962">
        <v>5248236</v>
      </c>
      <c r="B962" t="s">
        <v>2840</v>
      </c>
      <c r="C962" s="1">
        <v>41584</v>
      </c>
      <c r="D962">
        <v>8</v>
      </c>
      <c r="F962" t="s">
        <v>2841</v>
      </c>
      <c r="H962" t="s">
        <v>18</v>
      </c>
      <c r="I962" t="s">
        <v>2842</v>
      </c>
      <c r="J962" t="str">
        <f>""</f>
        <v/>
      </c>
      <c r="K962" t="str">
        <f>"9780273765707"</f>
        <v>9780273765707</v>
      </c>
      <c r="L962" t="s">
        <v>25</v>
      </c>
      <c r="M962" t="s">
        <v>298</v>
      </c>
    </row>
    <row r="963" spans="1:13" x14ac:dyDescent="0.15">
      <c r="A963">
        <v>5248239</v>
      </c>
      <c r="B963" t="s">
        <v>2843</v>
      </c>
      <c r="C963" s="1">
        <v>41584</v>
      </c>
      <c r="D963">
        <v>6</v>
      </c>
      <c r="F963" t="s">
        <v>2844</v>
      </c>
      <c r="H963" t="s">
        <v>18</v>
      </c>
      <c r="I963" t="s">
        <v>2845</v>
      </c>
      <c r="J963" t="str">
        <f>""</f>
        <v/>
      </c>
      <c r="K963" t="str">
        <f>"9780273778271"</f>
        <v>9780273778271</v>
      </c>
      <c r="L963" t="s">
        <v>25</v>
      </c>
      <c r="M963" t="s">
        <v>15</v>
      </c>
    </row>
    <row r="964" spans="1:13" x14ac:dyDescent="0.15">
      <c r="A964">
        <v>5248241</v>
      </c>
      <c r="B964" t="s">
        <v>2846</v>
      </c>
      <c r="C964" s="1">
        <v>41513</v>
      </c>
      <c r="D964">
        <v>6</v>
      </c>
      <c r="F964" t="s">
        <v>2847</v>
      </c>
      <c r="H964" t="s">
        <v>18</v>
      </c>
      <c r="I964" t="s">
        <v>2848</v>
      </c>
      <c r="J964" t="str">
        <f>"9781292020273"</f>
        <v>9781292020273</v>
      </c>
      <c r="K964" t="str">
        <f>"9781292033631"</f>
        <v>9781292033631</v>
      </c>
      <c r="L964" t="s">
        <v>25</v>
      </c>
      <c r="M964" t="s">
        <v>15</v>
      </c>
    </row>
    <row r="965" spans="1:13" x14ac:dyDescent="0.15">
      <c r="A965">
        <v>5248244</v>
      </c>
      <c r="B965" t="s">
        <v>381</v>
      </c>
      <c r="C965" s="1">
        <v>41513</v>
      </c>
      <c r="D965">
        <v>7</v>
      </c>
      <c r="F965" t="s">
        <v>2849</v>
      </c>
      <c r="H965" t="s">
        <v>18</v>
      </c>
      <c r="I965" t="s">
        <v>2850</v>
      </c>
      <c r="J965" t="str">
        <f>"9781292021249"</f>
        <v>9781292021249</v>
      </c>
      <c r="K965" t="str">
        <f>"9781292034478"</f>
        <v>9781292034478</v>
      </c>
      <c r="L965" t="s">
        <v>25</v>
      </c>
      <c r="M965" t="s">
        <v>15</v>
      </c>
    </row>
    <row r="966" spans="1:13" x14ac:dyDescent="0.15">
      <c r="A966">
        <v>5248245</v>
      </c>
      <c r="B966" t="s">
        <v>2851</v>
      </c>
      <c r="C966" s="1">
        <v>41513</v>
      </c>
      <c r="D966">
        <v>10</v>
      </c>
      <c r="F966" t="s">
        <v>2852</v>
      </c>
      <c r="H966" t="s">
        <v>18</v>
      </c>
      <c r="I966" t="s">
        <v>2853</v>
      </c>
      <c r="J966" t="str">
        <f>"9781292021171"</f>
        <v>9781292021171</v>
      </c>
      <c r="K966" t="str">
        <f>"9781292034409"</f>
        <v>9781292034409</v>
      </c>
      <c r="L966" t="s">
        <v>25</v>
      </c>
      <c r="M966" t="s">
        <v>15</v>
      </c>
    </row>
    <row r="967" spans="1:13" x14ac:dyDescent="0.15">
      <c r="A967">
        <v>5248248</v>
      </c>
      <c r="B967" t="s">
        <v>2854</v>
      </c>
      <c r="C967" s="1">
        <v>41513</v>
      </c>
      <c r="D967">
        <v>2</v>
      </c>
      <c r="F967" t="s">
        <v>2855</v>
      </c>
      <c r="H967" t="s">
        <v>18</v>
      </c>
      <c r="I967" t="s">
        <v>2856</v>
      </c>
      <c r="J967" t="str">
        <f>"9781292021201"</f>
        <v>9781292021201</v>
      </c>
      <c r="K967" t="str">
        <f>"9781292034430"</f>
        <v>9781292034430</v>
      </c>
      <c r="L967" t="s">
        <v>25</v>
      </c>
      <c r="M967" t="s">
        <v>15</v>
      </c>
    </row>
    <row r="968" spans="1:13" x14ac:dyDescent="0.15">
      <c r="A968">
        <v>5248250</v>
      </c>
      <c r="B968" t="s">
        <v>2857</v>
      </c>
      <c r="C968" s="1">
        <v>41513</v>
      </c>
      <c r="D968">
        <v>6</v>
      </c>
      <c r="F968" t="s">
        <v>2858</v>
      </c>
      <c r="H968" t="s">
        <v>18</v>
      </c>
      <c r="I968" t="s">
        <v>2859</v>
      </c>
      <c r="J968" t="str">
        <f>"9781292021416"</f>
        <v>9781292021416</v>
      </c>
      <c r="K968" t="str">
        <f>"9781292034645"</f>
        <v>9781292034645</v>
      </c>
      <c r="L968" t="s">
        <v>25</v>
      </c>
      <c r="M968" t="s">
        <v>15</v>
      </c>
    </row>
    <row r="969" spans="1:13" x14ac:dyDescent="0.15">
      <c r="A969">
        <v>5248251</v>
      </c>
      <c r="B969" t="s">
        <v>2860</v>
      </c>
      <c r="C969" s="1">
        <v>41513</v>
      </c>
      <c r="D969">
        <v>7</v>
      </c>
      <c r="F969" t="s">
        <v>2861</v>
      </c>
      <c r="H969" t="s">
        <v>18</v>
      </c>
      <c r="I969" t="s">
        <v>2862</v>
      </c>
      <c r="J969" t="str">
        <f>"9781292021713"</f>
        <v>9781292021713</v>
      </c>
      <c r="K969" t="str">
        <f>"9781292034942"</f>
        <v>9781292034942</v>
      </c>
      <c r="L969" t="s">
        <v>25</v>
      </c>
      <c r="M969" t="s">
        <v>15</v>
      </c>
    </row>
    <row r="970" spans="1:13" x14ac:dyDescent="0.15">
      <c r="A970">
        <v>5248252</v>
      </c>
      <c r="B970" t="s">
        <v>2863</v>
      </c>
      <c r="C970" s="1">
        <v>41513</v>
      </c>
      <c r="D970">
        <v>2</v>
      </c>
      <c r="F970" t="s">
        <v>2864</v>
      </c>
      <c r="H970" t="s">
        <v>18</v>
      </c>
      <c r="I970" t="s">
        <v>2865</v>
      </c>
      <c r="J970" t="str">
        <f>"9781292021812"</f>
        <v>9781292021812</v>
      </c>
      <c r="K970" t="str">
        <f>"9781292035024"</f>
        <v>9781292035024</v>
      </c>
      <c r="L970" t="s">
        <v>25</v>
      </c>
      <c r="M970" t="s">
        <v>15</v>
      </c>
    </row>
    <row r="971" spans="1:13" x14ac:dyDescent="0.15">
      <c r="A971">
        <v>5248253</v>
      </c>
      <c r="B971" t="s">
        <v>1261</v>
      </c>
      <c r="C971" s="1">
        <v>41513</v>
      </c>
      <c r="D971">
        <v>4</v>
      </c>
      <c r="F971" t="s">
        <v>859</v>
      </c>
      <c r="H971" t="s">
        <v>18</v>
      </c>
      <c r="I971" t="s">
        <v>2866</v>
      </c>
      <c r="J971" t="str">
        <f>"9781292021836"</f>
        <v>9781292021836</v>
      </c>
      <c r="K971" t="str">
        <f>"9781292035048"</f>
        <v>9781292035048</v>
      </c>
      <c r="L971" t="s">
        <v>25</v>
      </c>
      <c r="M971" t="s">
        <v>15</v>
      </c>
    </row>
    <row r="972" spans="1:13" x14ac:dyDescent="0.15">
      <c r="A972">
        <v>5248255</v>
      </c>
      <c r="B972" t="s">
        <v>935</v>
      </c>
      <c r="C972" s="1">
        <v>41514</v>
      </c>
      <c r="D972">
        <v>12</v>
      </c>
      <c r="F972" t="s">
        <v>2867</v>
      </c>
      <c r="H972" t="s">
        <v>18</v>
      </c>
      <c r="I972" t="s">
        <v>2868</v>
      </c>
      <c r="J972" t="str">
        <f>"9781292022659"</f>
        <v>9781292022659</v>
      </c>
      <c r="K972" t="str">
        <f>"9781292035857"</f>
        <v>9781292035857</v>
      </c>
      <c r="L972" t="s">
        <v>25</v>
      </c>
      <c r="M972" t="s">
        <v>15</v>
      </c>
    </row>
    <row r="973" spans="1:13" x14ac:dyDescent="0.15">
      <c r="A973">
        <v>5248256</v>
      </c>
      <c r="B973" t="s">
        <v>2869</v>
      </c>
      <c r="C973" s="1">
        <v>41514</v>
      </c>
      <c r="D973">
        <v>2</v>
      </c>
      <c r="F973" t="s">
        <v>2870</v>
      </c>
      <c r="H973" t="s">
        <v>18</v>
      </c>
      <c r="I973" t="s">
        <v>2871</v>
      </c>
      <c r="J973" t="str">
        <f>"9781292022932"</f>
        <v>9781292022932</v>
      </c>
      <c r="K973" t="str">
        <f>"9781292036113"</f>
        <v>9781292036113</v>
      </c>
      <c r="L973" t="s">
        <v>25</v>
      </c>
      <c r="M973" t="s">
        <v>15</v>
      </c>
    </row>
    <row r="974" spans="1:13" x14ac:dyDescent="0.15">
      <c r="A974">
        <v>5248257</v>
      </c>
      <c r="B974" t="s">
        <v>1514</v>
      </c>
      <c r="C974" s="1">
        <v>41515</v>
      </c>
      <c r="D974">
        <v>12</v>
      </c>
      <c r="F974" t="s">
        <v>2872</v>
      </c>
      <c r="H974" t="s">
        <v>18</v>
      </c>
      <c r="I974" t="s">
        <v>2873</v>
      </c>
      <c r="J974" t="str">
        <f>"9781292023762"</f>
        <v>9781292023762</v>
      </c>
      <c r="K974" t="str">
        <f>"9781292036892"</f>
        <v>9781292036892</v>
      </c>
      <c r="L974" t="s">
        <v>25</v>
      </c>
      <c r="M974" t="s">
        <v>15</v>
      </c>
    </row>
    <row r="975" spans="1:13" x14ac:dyDescent="0.15">
      <c r="A975">
        <v>5248258</v>
      </c>
      <c r="B975" t="s">
        <v>2874</v>
      </c>
      <c r="C975" s="1">
        <v>41514</v>
      </c>
      <c r="D975">
        <v>12</v>
      </c>
      <c r="F975" t="s">
        <v>2875</v>
      </c>
      <c r="H975" t="s">
        <v>18</v>
      </c>
      <c r="I975" t="s">
        <v>2876</v>
      </c>
      <c r="J975" t="str">
        <f>"9781292023069"</f>
        <v>9781292023069</v>
      </c>
      <c r="K975" t="str">
        <f>"9781292036243"</f>
        <v>9781292036243</v>
      </c>
      <c r="L975" t="s">
        <v>25</v>
      </c>
      <c r="M975" t="s">
        <v>15</v>
      </c>
    </row>
    <row r="976" spans="1:13" x14ac:dyDescent="0.15">
      <c r="A976">
        <v>5248261</v>
      </c>
      <c r="B976" t="s">
        <v>2877</v>
      </c>
      <c r="C976" s="1">
        <v>41514</v>
      </c>
      <c r="D976">
        <v>6</v>
      </c>
      <c r="F976" t="s">
        <v>2276</v>
      </c>
      <c r="H976" t="s">
        <v>18</v>
      </c>
      <c r="I976" t="s">
        <v>2878</v>
      </c>
      <c r="J976" t="str">
        <f>"9781292022703"</f>
        <v>9781292022703</v>
      </c>
      <c r="K976" t="str">
        <f>"9781292035901"</f>
        <v>9781292035901</v>
      </c>
      <c r="L976" t="s">
        <v>25</v>
      </c>
      <c r="M976" t="s">
        <v>15</v>
      </c>
    </row>
    <row r="977" spans="1:13" x14ac:dyDescent="0.15">
      <c r="A977">
        <v>5248262</v>
      </c>
      <c r="B977" t="s">
        <v>2879</v>
      </c>
      <c r="C977" s="1">
        <v>41514</v>
      </c>
      <c r="D977">
        <v>14</v>
      </c>
      <c r="F977" t="s">
        <v>2880</v>
      </c>
      <c r="H977" t="s">
        <v>18</v>
      </c>
      <c r="I977" t="s">
        <v>2881</v>
      </c>
      <c r="J977" t="str">
        <f>"9781292023014"</f>
        <v>9781292023014</v>
      </c>
      <c r="K977" t="str">
        <f>"9781292036199"</f>
        <v>9781292036199</v>
      </c>
      <c r="L977" t="s">
        <v>25</v>
      </c>
      <c r="M977" t="s">
        <v>15</v>
      </c>
    </row>
    <row r="978" spans="1:13" x14ac:dyDescent="0.15">
      <c r="A978">
        <v>5248263</v>
      </c>
      <c r="B978" t="s">
        <v>2882</v>
      </c>
      <c r="C978" s="1">
        <v>41514</v>
      </c>
      <c r="D978">
        <v>6</v>
      </c>
      <c r="F978" t="s">
        <v>2883</v>
      </c>
      <c r="H978" t="s">
        <v>18</v>
      </c>
      <c r="I978" t="s">
        <v>2884</v>
      </c>
      <c r="J978" t="str">
        <f>"9781292023564"</f>
        <v>9781292023564</v>
      </c>
      <c r="K978" t="str">
        <f>"9781292036731"</f>
        <v>9781292036731</v>
      </c>
      <c r="L978" t="s">
        <v>25</v>
      </c>
      <c r="M978" t="s">
        <v>15</v>
      </c>
    </row>
    <row r="979" spans="1:13" x14ac:dyDescent="0.15">
      <c r="A979">
        <v>5248265</v>
      </c>
      <c r="B979" t="s">
        <v>2885</v>
      </c>
      <c r="C979" s="1">
        <v>41515</v>
      </c>
      <c r="D979">
        <v>6</v>
      </c>
      <c r="F979" t="s">
        <v>2886</v>
      </c>
      <c r="H979" t="s">
        <v>18</v>
      </c>
      <c r="I979" t="s">
        <v>2887</v>
      </c>
      <c r="J979" t="str">
        <f>"9781292026411"</f>
        <v>9781292026411</v>
      </c>
      <c r="K979" t="str">
        <f>"9781292038803"</f>
        <v>9781292038803</v>
      </c>
      <c r="L979" t="s">
        <v>25</v>
      </c>
      <c r="M979" t="s">
        <v>15</v>
      </c>
    </row>
    <row r="980" spans="1:13" x14ac:dyDescent="0.15">
      <c r="A980">
        <v>5248266</v>
      </c>
      <c r="B980" t="s">
        <v>1318</v>
      </c>
      <c r="C980" s="1">
        <v>41514</v>
      </c>
      <c r="D980">
        <v>7</v>
      </c>
      <c r="F980" t="s">
        <v>2888</v>
      </c>
      <c r="H980" t="s">
        <v>18</v>
      </c>
      <c r="I980" t="s">
        <v>2889</v>
      </c>
      <c r="J980" t="str">
        <f>"9781292022819"</f>
        <v>9781292022819</v>
      </c>
      <c r="K980" t="str">
        <f>"9781292036014"</f>
        <v>9781292036014</v>
      </c>
      <c r="L980" t="s">
        <v>25</v>
      </c>
      <c r="M980" t="s">
        <v>15</v>
      </c>
    </row>
    <row r="981" spans="1:13" x14ac:dyDescent="0.15">
      <c r="A981">
        <v>5248268</v>
      </c>
      <c r="B981" t="s">
        <v>2890</v>
      </c>
      <c r="C981" s="1">
        <v>41514</v>
      </c>
      <c r="D981">
        <v>8</v>
      </c>
      <c r="F981" t="s">
        <v>2440</v>
      </c>
      <c r="H981" t="s">
        <v>18</v>
      </c>
      <c r="I981" t="s">
        <v>2891</v>
      </c>
      <c r="J981" t="str">
        <f>"9781292022727"</f>
        <v>9781292022727</v>
      </c>
      <c r="K981" t="str">
        <f>"9781292035925"</f>
        <v>9781292035925</v>
      </c>
      <c r="L981" t="s">
        <v>25</v>
      </c>
      <c r="M981" t="s">
        <v>15</v>
      </c>
    </row>
    <row r="982" spans="1:13" x14ac:dyDescent="0.15">
      <c r="A982">
        <v>5248269</v>
      </c>
      <c r="B982" t="s">
        <v>2892</v>
      </c>
      <c r="C982" s="1">
        <v>41515</v>
      </c>
      <c r="D982">
        <v>6</v>
      </c>
      <c r="F982" t="s">
        <v>2893</v>
      </c>
      <c r="H982" t="s">
        <v>18</v>
      </c>
      <c r="I982" t="s">
        <v>2894</v>
      </c>
      <c r="J982" t="str">
        <f>"9781292025605"</f>
        <v>9781292025605</v>
      </c>
      <c r="K982" t="str">
        <f>"9781292038032"</f>
        <v>9781292038032</v>
      </c>
      <c r="L982" t="s">
        <v>25</v>
      </c>
      <c r="M982" t="s">
        <v>15</v>
      </c>
    </row>
    <row r="983" spans="1:13" x14ac:dyDescent="0.15">
      <c r="A983">
        <v>5248273</v>
      </c>
      <c r="B983" t="s">
        <v>2895</v>
      </c>
      <c r="C983" s="1">
        <v>41515</v>
      </c>
      <c r="D983">
        <v>7</v>
      </c>
      <c r="F983" t="s">
        <v>2896</v>
      </c>
      <c r="H983" t="s">
        <v>18</v>
      </c>
      <c r="I983" t="s">
        <v>2897</v>
      </c>
      <c r="J983" t="str">
        <f>"9781292024967"</f>
        <v>9781292024967</v>
      </c>
      <c r="K983" t="str">
        <f>"9781292037592"</f>
        <v>9781292037592</v>
      </c>
      <c r="L983" t="s">
        <v>25</v>
      </c>
      <c r="M983" t="s">
        <v>15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Pearson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2018-09-25T01:11:48Z</dcterms:created>
  <dcterms:modified xsi:type="dcterms:W3CDTF">2018-09-25T01:12:24Z</dcterms:modified>
</cp:coreProperties>
</file>